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0"/>
  </bookViews>
  <sheets>
    <sheet name="титулка" sheetId="1" r:id="rId1"/>
    <sheet name="Навчальний план" sheetId="2" state="hidden" r:id="rId2"/>
    <sheet name="Навчальний план (правка)" sheetId="3" r:id="rId3"/>
    <sheet name="Навчальний план (2)" sheetId="4" state="hidden" r:id="rId4"/>
  </sheets>
  <definedNames>
    <definedName name="_xlnm.Print_Area" localSheetId="1">'Навчальний план'!$A$1:$AC$252</definedName>
    <definedName name="_xlnm.Print_Area" localSheetId="3">'Навчальний план (2)'!$A$1:$Z$188</definedName>
    <definedName name="_xlnm.Print_Area" localSheetId="2">'Навчальний план (правка)'!$A$1:$AC$252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<sst xmlns="http://schemas.openxmlformats.org/spreadsheetml/2006/main" count="1362" uniqueCount="397">
  <si>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</si>
  <si>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</si>
  <si>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</si>
  <si>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</si>
  <si>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</si>
  <si>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</si>
  <si>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</si>
  <si>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</si>
  <si>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</si>
  <si>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</si>
  <si>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</si>
  <si>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</si>
  <si>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</si>
  <si>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</si>
  <si>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</si>
  <si>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</si>
  <si>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</si>
  <si>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</si>
  <si>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</si>
  <si>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</si>
  <si>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</si>
  <si>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</si>
  <si>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</si>
  <si>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</si>
  <si>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</si>
  <si>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</si>
  <si>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</si>
  <si>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</si>
  <si>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</si>
  <si>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</si>
  <si>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</si>
  <si>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</si>
  <si>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</si>
  <si>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</si>
  <si>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</si>
  <si>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</si>
  <si>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</si>
  <si>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</si>
  <si>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</si>
  <si>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</si>
  <si>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</si>
  <si>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</si>
  <si>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</si>
  <si>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</si>
  <si>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</si>
  <si>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</si>
  <si>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</si>
  <si>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</si>
  <si>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</si>
  <si>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</si>
  <si>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</si>
  <si>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</si>
  <si>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</si>
  <si>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</si>
  <si>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</si>
  <si>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</si>
  <si>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</si>
  <si>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</si>
  <si>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</si>
  <si>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</si>
  <si>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</si>
  <si>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</si>
  <si>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</si>
  <si>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</si>
  <si>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</si>
  <si>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</si>
  <si>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</si>
  <si>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</si>
  <si>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</si>
  <si>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</si>
  <si>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</si>
  <si>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</si>
  <si>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</si>
  <si>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</si>
  <si>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</si>
  <si>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</si>
  <si>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</si>
  <si>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</si>
  <si>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</si>
  <si>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</si>
  <si>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</si>
  <si>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</si>
  <si>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</si>
  <si>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</si>
  <si>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</si>
  <si>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</si>
  <si>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</si>
  <si>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</si>
  <si>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</si>
  <si>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</si>
  <si>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</si>
  <si>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</si>
  <si>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</si>
  <si>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</si>
  <si>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</si>
  <si>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</si>
  <si>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</si>
  <si>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</si>
  <si>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</si>
  <si>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</si>
  <si>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</si>
  <si>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</si>
  <si>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</si>
  <si>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</si>
  <si>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</si>
  <si>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</si>
  <si>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</si>
  <si>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</si>
  <si>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</si>
  <si>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</si>
  <si>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</si>
  <si>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</si>
  <si>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</si>
  <si>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</si>
  <si>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</si>
  <si>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</si>
  <si>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</si>
  <si>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</si>
  <si>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</si>
  <si>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</si>
  <si>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</si>
  <si>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</si>
  <si>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</si>
  <si>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</si>
  <si>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</si>
  <si>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</si>
  <si>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</si>
  <si>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</si>
  <si>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</si>
  <si>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</si>
  <si>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</si>
  <si>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</si>
  <si>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</si>
  <si>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</si>
  <si>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</si>
  <si>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</si>
  <si>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</si>
  <si>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</si>
  <si>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</si>
  <si>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</si>
  <si>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</si>
  <si>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</si>
  <si>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</si>
  <si>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</si>
  <si>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</si>
  <si>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</si>
  <si>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</si>
  <si>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</si>
  <si>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</si>
  <si>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</si>
  <si>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</si>
  <si>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</si>
  <si>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</si>
  <si>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</si>
  <si>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</si>
  <si>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</si>
  <si>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</si>
  <si>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</si>
  <si>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</si>
  <si>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</si>
  <si>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</si>
  <si>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</si>
  <si>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</si>
  <si>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</si>
  <si>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</si>
  <si>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</si>
  <si>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</si>
  <si>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</si>
  <si>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</si>
  <si>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</si>
  <si>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</si>
  <si>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</si>
  <si>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</si>
  <si>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</si>
  <si>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</si>
  <si>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</si>
  <si>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</si>
  <si>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</si>
  <si>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</si>
  <si>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</si>
  <si>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</si>
  <si>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</si>
  <si>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</si>
  <si>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</si>
  <si>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</si>
  <si>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</si>
  <si>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</si>
  <si>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</si>
  <si>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</si>
  <si>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</si>
  <si>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</si>
  <si>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</si>
  <si>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</si>
  <si>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</si>
  <si>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</si>
  <si>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</si>
  <si>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</si>
  <si>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</si>
  <si>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</si>
  <si>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</si>
  <si>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</si>
  <si>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</si>
  <si>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</si>
  <si>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</si>
  <si>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</si>
  <si>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</si>
  <si>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</si>
  <si>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</si>
  <si>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</si>
  <si>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</si>
  <si>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</si>
  <si>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</si>
  <si>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</si>
  <si>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</si>
  <si>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</si>
  <si>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</si>
  <si>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</si>
  <si>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</si>
  <si>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</si>
  <si>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</si>
  <si>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</si>
  <si>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</si>
  <si>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</si>
  <si>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</si>
  <si>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</si>
  <si>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</si>
  <si>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</si>
  <si>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</si>
  <si>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</si>
  <si>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</si>
  <si>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</si>
  <si>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</si>
  <si>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</si>
  <si>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</si>
  <si>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</si>
  <si>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</si>
  <si>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</si>
  <si>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</si>
  <si>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</si>
  <si>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</si>
  <si>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</si>
  <si>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</si>
  <si>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</si>
  <si>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</si>
  <si>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</si>
  <si>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</si>
  <si>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</si>
  <si>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</si>
  <si>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</si>
  <si>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</si>
  <si>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</si>
  <si>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</si>
  <si>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</si>
  <si>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</si>
  <si>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</si>
  <si>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</si>
  <si>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</si>
  <si>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</si>
  <si>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</si>
  <si>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</si>
  <si>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</si>
  <si>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</si>
  <si>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</si>
  <si>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</si>
  <si>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</si>
  <si>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</si>
  <si>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</si>
  <si>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</si>
  <si>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</si>
  <si>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</si>
  <si>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</si>
  <si>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</si>
  <si>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</si>
  <si>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</si>
  <si>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</si>
  <si>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</si>
  <si>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</si>
  <si>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</si>
  <si>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</si>
  <si>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</si>
  <si>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</si>
  <si>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</si>
  <si>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</si>
  <si>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</si>
  <si>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</si>
  <si>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</si>
  <si>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</si>
  <si>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</si>
  <si>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</si>
  <si>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</si>
  <si>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</si>
  <si>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</si>
  <si>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</si>
  <si>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</si>
  <si>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</si>
  <si>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</si>
  <si>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</si>
  <si>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</si>
  <si>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Вступ до освітнього процесу</t>
  </si>
  <si>
    <t>Основи охорони праці (загальний обсяг)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</si>
  <si>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</si>
  <si>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</si>
  <si>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</si>
  <si>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</si>
  <si>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</si>
  <si>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</si>
  <si>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</si>
  <si>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</si>
  <si>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</si>
  <si>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</si>
  <si>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</si>
  <si>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</si>
  <si>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</si>
  <si>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</si>
  <si>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</si>
  <si>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</si>
  <si>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</si>
  <si>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</si>
  <si>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</si>
  <si>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</si>
  <si>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</si>
  <si>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</si>
  <si>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</si>
  <si>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</si>
  <si>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>Інформаційні системи в економіці</t>
  </si>
  <si>
    <t>Нейромережні технології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</si>
  <si>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</si>
  <si>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</si>
  <si>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</si>
  <si>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</si>
  <si>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</si>
  <si>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</si>
  <si>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</si>
  <si>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</si>
  <si>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</si>
  <si>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</si>
  <si>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</si>
  <si>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</si>
  <si>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</si>
  <si>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</si>
  <si>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</si>
  <si>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Випадкові процеси</t>
  </si>
  <si>
    <t>Проєктування інформаційних систем</t>
  </si>
  <si>
    <t>4a</t>
  </si>
  <si>
    <t>Операційні системи</t>
  </si>
  <si>
    <t>О.Ю. Мельников</t>
  </si>
  <si>
    <t>2.2.4</t>
  </si>
  <si>
    <t>Срок навчання - 2 роки 10 місяців</t>
  </si>
  <si>
    <t>На основі ОПП підготовки фахового молодшого бакалавра</t>
  </si>
  <si>
    <t>6а</t>
  </si>
  <si>
    <t>6б</t>
  </si>
  <si>
    <t>Дисципліна вільного вибору (2а, 2б семестр)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</si>
  <si>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</si>
  <si>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</si>
  <si>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</si>
  <si>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</si>
  <si>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</si>
  <si>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</si>
  <si>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Дисципліна вільного вибору (4а, 4б семестр)</t>
  </si>
  <si>
    <t>2.1.2</t>
  </si>
  <si>
    <t>2.1.3</t>
  </si>
  <si>
    <t>Ділова риторика</t>
  </si>
  <si>
    <t>Етика сімейних відносин</t>
  </si>
  <si>
    <t>Тайм-менеджмент</t>
  </si>
  <si>
    <t>1.1</t>
  </si>
  <si>
    <t>1, 2б д*</t>
  </si>
  <si>
    <t>1.2</t>
  </si>
  <si>
    <t>3, 4б д*</t>
  </si>
  <si>
    <t>1.3</t>
  </si>
  <si>
    <t>5ф*6ф* 7ф*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</si>
  <si>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</si>
  <si>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 xml:space="preserve">2 </t>
  </si>
  <si>
    <t>Технологія створення програмних продуктів</t>
  </si>
  <si>
    <t>Актуарні розрахунки</t>
  </si>
  <si>
    <t>Дисципліни вільного вибору (6б семестр)</t>
  </si>
  <si>
    <t>Технологія створення програмних продуктів - курсова робота</t>
  </si>
  <si>
    <t>Web-технології та web-дизайн-2</t>
  </si>
  <si>
    <t>Інформаційні системи і технології у банківській діяльності</t>
  </si>
  <si>
    <t>Web-технології та web-дизайн-3</t>
  </si>
  <si>
    <t>Дисципліни вільного вибору (5 семестр)</t>
  </si>
  <si>
    <t>Моделювання економічної динаміки</t>
  </si>
  <si>
    <t>Дисципліни вільного вибору (6а семестр)</t>
  </si>
  <si>
    <t>6a</t>
  </si>
  <si>
    <t>2.2.5</t>
  </si>
  <si>
    <t>2.2.6</t>
  </si>
  <si>
    <t>Підприємницька діяльність та економіка підприємства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</si>
  <si>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</si>
  <si>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</si>
  <si>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Кваліфікація: бакалавр з інформаційних систем та технологій</t>
  </si>
  <si>
    <t>План освітнього процесу на 2024-25 навчальний рік (денна прискоренна форма)</t>
  </si>
  <si>
    <t>Інформаційні системи та технології керування (загальний обсяг)</t>
  </si>
  <si>
    <t>Web-технології та web-дизайн (загальний обсяг)</t>
  </si>
  <si>
    <t>1.2.15</t>
  </si>
  <si>
    <t>Програмування мобільних пристроїв (загальний обсяг)</t>
  </si>
  <si>
    <t>Теорія прийняття рішень</t>
  </si>
  <si>
    <t>протокол № 9</t>
  </si>
  <si>
    <t>"  25  " квітня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</si>
</sst>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94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 vertical="center"/>
      <protection/>
    </xf>
    <xf numFmtId="0" fontId="23" fillId="0" borderId="0" xfId="57" applyFont="1" applyAlignment="1">
      <alignment/>
      <protection/>
    </xf>
    <xf numFmtId="0" fontId="22" fillId="0" borderId="0" xfId="57" applyFont="1" applyBorder="1" applyAlignment="1">
      <alignment horizontal="left"/>
      <protection/>
    </xf>
    <xf numFmtId="0" fontId="0" fillId="0" borderId="0" xfId="57" applyAlignment="1">
      <alignment wrapText="1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wrapText="1"/>
      <protection/>
    </xf>
    <xf numFmtId="0" fontId="0" fillId="0" borderId="0" xfId="57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7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7" fillId="0" borderId="0" xfId="56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6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vertical="justify" wrapText="1"/>
    </xf>
    <xf numFmtId="0" fontId="9" fillId="0" borderId="118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9" fillId="0" borderId="120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0" fontId="9" fillId="0" borderId="13" xfId="54" applyNumberFormat="1" applyFont="1" applyFill="1" applyBorder="1" applyAlignment="1" applyProtection="1">
      <alignment horizontal="center" vertical="center"/>
      <protection/>
    </xf>
    <xf numFmtId="0" fontId="9" fillId="0" borderId="19" xfId="54" applyNumberFormat="1" applyFont="1" applyFill="1" applyBorder="1" applyAlignment="1" applyProtection="1">
      <alignment horizontal="center" vertical="center"/>
      <protection/>
    </xf>
    <xf numFmtId="200" fontId="11" fillId="0" borderId="121" xfId="54" applyNumberFormat="1" applyFont="1" applyFill="1" applyBorder="1" applyAlignment="1" applyProtection="1">
      <alignment horizontal="center" vertical="center"/>
      <protection/>
    </xf>
    <xf numFmtId="200" fontId="9" fillId="0" borderId="15" xfId="54" applyNumberFormat="1" applyFont="1" applyFill="1" applyBorder="1" applyAlignment="1" applyProtection="1">
      <alignment horizontal="center" vertical="center"/>
      <protection/>
    </xf>
    <xf numFmtId="200" fontId="9" fillId="0" borderId="122" xfId="54" applyNumberFormat="1" applyFont="1" applyFill="1" applyBorder="1" applyAlignment="1" applyProtection="1">
      <alignment horizontal="center" vertical="center"/>
      <protection/>
    </xf>
    <xf numFmtId="0" fontId="11" fillId="0" borderId="108" xfId="54" applyNumberFormat="1" applyFont="1" applyFill="1" applyBorder="1" applyAlignment="1" applyProtection="1">
      <alignment horizontal="center" vertical="center"/>
      <protection/>
    </xf>
    <xf numFmtId="0" fontId="9" fillId="0" borderId="34" xfId="54" applyNumberFormat="1" applyFont="1" applyFill="1" applyBorder="1" applyAlignment="1" applyProtection="1">
      <alignment horizontal="center" vertical="center"/>
      <protection/>
    </xf>
    <xf numFmtId="0" fontId="9" fillId="0" borderId="123" xfId="54" applyNumberFormat="1" applyFont="1" applyFill="1" applyBorder="1" applyAlignment="1" applyProtection="1">
      <alignment horizontal="center" vertical="center"/>
      <protection/>
    </xf>
    <xf numFmtId="0" fontId="9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21" xfId="54" applyNumberFormat="1" applyFont="1" applyFill="1" applyBorder="1" applyAlignment="1" applyProtection="1">
      <alignment horizontal="center" vertical="center"/>
      <protection/>
    </xf>
    <xf numFmtId="0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18" xfId="54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center" vertical="center"/>
      <protection/>
    </xf>
    <xf numFmtId="49" fontId="11" fillId="0" borderId="33" xfId="55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right" vertical="center"/>
      <protection/>
    </xf>
    <xf numFmtId="181" fontId="11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vertical="center"/>
      <protection/>
    </xf>
    <xf numFmtId="49" fontId="9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24" xfId="55" applyNumberFormat="1" applyFont="1" applyFill="1" applyBorder="1" applyAlignment="1">
      <alignment vertical="center" wrapText="1"/>
      <protection/>
    </xf>
    <xf numFmtId="182" fontId="9" fillId="0" borderId="18" xfId="55" applyNumberFormat="1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200" fontId="9" fillId="0" borderId="125" xfId="55" applyNumberFormat="1" applyFont="1" applyFill="1" applyBorder="1" applyAlignment="1" applyProtection="1">
      <alignment horizontal="center" vertical="center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200" fontId="9" fillId="0" borderId="19" xfId="55" applyNumberFormat="1" applyFont="1" applyFill="1" applyBorder="1" applyAlignment="1">
      <alignment horizontal="center" vertical="center" wrapText="1"/>
      <protection/>
    </xf>
    <xf numFmtId="0" fontId="9" fillId="0" borderId="126" xfId="55" applyFont="1" applyFill="1" applyBorder="1" applyAlignment="1">
      <alignment horizontal="center" vertical="center" wrapText="1"/>
      <protection/>
    </xf>
    <xf numFmtId="49" fontId="9" fillId="0" borderId="33" xfId="55" applyNumberFormat="1" applyFont="1" applyFill="1" applyBorder="1" applyAlignment="1">
      <alignment vertical="center" wrapText="1"/>
      <protection/>
    </xf>
    <xf numFmtId="182" fontId="9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201" fontId="9" fillId="0" borderId="10" xfId="55" applyNumberFormat="1" applyFont="1" applyFill="1" applyBorder="1" applyAlignment="1" applyProtection="1">
      <alignment horizontal="center" vertical="center"/>
      <protection/>
    </xf>
    <xf numFmtId="182" fontId="11" fillId="0" borderId="0" xfId="55" applyNumberFormat="1" applyFont="1" applyFill="1" applyBorder="1" applyAlignment="1" applyProtection="1">
      <alignment horizontal="left" vertical="center"/>
      <protection/>
    </xf>
    <xf numFmtId="0" fontId="11" fillId="0" borderId="127" xfId="55" applyFont="1" applyFill="1" applyBorder="1" applyAlignment="1" applyProtection="1">
      <alignment horizontal="right" vertical="center"/>
      <protection/>
    </xf>
    <xf numFmtId="182" fontId="11" fillId="0" borderId="26" xfId="55" applyNumberFormat="1" applyFont="1" applyFill="1" applyBorder="1" applyAlignment="1" applyProtection="1">
      <alignment horizontal="right" vertical="center"/>
      <protection/>
    </xf>
    <xf numFmtId="181" fontId="11" fillId="0" borderId="0" xfId="55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" fontId="9" fillId="0" borderId="33" xfId="55" applyNumberFormat="1" applyFont="1" applyFill="1" applyBorder="1" applyAlignment="1">
      <alignment horizontal="center" vertical="center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190" fontId="9" fillId="0" borderId="22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vertical="center" wrapText="1"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200" fontId="9" fillId="0" borderId="60" xfId="54" applyNumberFormat="1" applyFont="1" applyFill="1" applyBorder="1" applyAlignment="1" applyProtection="1">
      <alignment horizontal="center" vertical="center"/>
      <protection/>
    </xf>
    <xf numFmtId="201" fontId="11" fillId="0" borderId="128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107" xfId="0" applyNumberFormat="1" applyFont="1" applyFill="1" applyBorder="1" applyAlignment="1" applyProtection="1">
      <alignment horizontal="center" vertical="center"/>
      <protection/>
    </xf>
    <xf numFmtId="200" fontId="11" fillId="0" borderId="108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9" fillId="0" borderId="131" xfId="54" applyNumberFormat="1" applyFont="1" applyFill="1" applyBorder="1" applyAlignment="1" applyProtection="1">
      <alignment horizontal="center" vertical="center"/>
      <protection/>
    </xf>
    <xf numFmtId="0" fontId="9" fillId="0" borderId="132" xfId="54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>
      <alignment vertical="center" wrapText="1"/>
    </xf>
    <xf numFmtId="0" fontId="11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22" xfId="54" applyNumberFormat="1" applyFont="1" applyFill="1" applyBorder="1" applyAlignment="1" applyProtection="1">
      <alignment horizontal="center" vertical="center"/>
      <protection/>
    </xf>
    <xf numFmtId="0" fontId="9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60" xfId="54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129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33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191" fontId="9" fillId="0" borderId="51" xfId="0" applyNumberFormat="1" applyFont="1" applyFill="1" applyBorder="1" applyAlignment="1" applyProtection="1">
      <alignment horizontal="center" vertical="center"/>
      <protection/>
    </xf>
    <xf numFmtId="0" fontId="36" fillId="0" borderId="134" xfId="0" applyNumberFormat="1" applyFont="1" applyFill="1" applyBorder="1" applyAlignment="1" applyProtection="1">
      <alignment horizontal="center" vertical="center"/>
      <protection/>
    </xf>
    <xf numFmtId="191" fontId="9" fillId="0" borderId="76" xfId="0" applyNumberFormat="1" applyFont="1" applyFill="1" applyBorder="1" applyAlignment="1" applyProtection="1">
      <alignment horizontal="center" vertical="center"/>
      <protection/>
    </xf>
    <xf numFmtId="182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>
      <alignment vertical="justify" wrapText="1"/>
    </xf>
    <xf numFmtId="0" fontId="9" fillId="0" borderId="133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81" fontId="9" fillId="0" borderId="135" xfId="0" applyNumberFormat="1" applyFont="1" applyFill="1" applyBorder="1" applyAlignment="1" applyProtection="1">
      <alignment horizontal="center" vertical="center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81" fontId="9" fillId="0" borderId="136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 wrapText="1"/>
    </xf>
    <xf numFmtId="49" fontId="6" fillId="0" borderId="137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 wrapText="1"/>
    </xf>
    <xf numFmtId="0" fontId="31" fillId="0" borderId="16" xfId="57" applyFont="1" applyBorder="1" applyAlignment="1">
      <alignment horizontal="center" vertical="center" wrapText="1"/>
      <protection/>
    </xf>
    <xf numFmtId="0" fontId="28" fillId="0" borderId="126" xfId="57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horizontal="center" vertical="center" wrapText="1"/>
      <protection/>
    </xf>
    <xf numFmtId="0" fontId="31" fillId="0" borderId="138" xfId="57" applyFont="1" applyBorder="1" applyAlignment="1">
      <alignment horizontal="center" vertical="center" wrapText="1"/>
      <protection/>
    </xf>
    <xf numFmtId="0" fontId="28" fillId="0" borderId="139" xfId="57" applyFont="1" applyBorder="1" applyAlignment="1">
      <alignment horizontal="center" vertical="center" wrapText="1"/>
      <protection/>
    </xf>
    <xf numFmtId="0" fontId="28" fillId="0" borderId="140" xfId="57" applyFont="1" applyBorder="1" applyAlignment="1">
      <alignment horizontal="center" vertical="center" wrapText="1"/>
      <protection/>
    </xf>
    <xf numFmtId="0" fontId="31" fillId="0" borderId="16" xfId="57" applyNumberFormat="1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wrapText="1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33" xfId="57" applyFont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31" fillId="0" borderId="15" xfId="57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7" applyFont="1" applyBorder="1" applyAlignment="1">
      <alignment horizontal="left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31" fillId="0" borderId="15" xfId="57" applyFont="1" applyBorder="1" applyAlignment="1">
      <alignment horizontal="center" vertical="center" wrapText="1"/>
      <protection/>
    </xf>
    <xf numFmtId="0" fontId="31" fillId="0" borderId="15" xfId="57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7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26" xfId="53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wrapText="1"/>
      <protection/>
    </xf>
    <xf numFmtId="0" fontId="28" fillId="0" borderId="28" xfId="57" applyFont="1" applyBorder="1" applyAlignment="1">
      <alignment wrapText="1"/>
      <protection/>
    </xf>
    <xf numFmtId="0" fontId="28" fillId="0" borderId="70" xfId="57" applyFont="1" applyBorder="1" applyAlignment="1">
      <alignment wrapText="1"/>
      <protection/>
    </xf>
    <xf numFmtId="0" fontId="28" fillId="0" borderId="35" xfId="57" applyFont="1" applyBorder="1" applyAlignment="1">
      <alignment wrapText="1"/>
      <protection/>
    </xf>
    <xf numFmtId="0" fontId="0" fillId="0" borderId="0" xfId="57" applyBorder="1" applyAlignment="1">
      <alignment horizontal="right" vertical="center" wrapText="1"/>
      <protection/>
    </xf>
    <xf numFmtId="0" fontId="27" fillId="0" borderId="0" xfId="57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wrapText="1"/>
      <protection/>
    </xf>
    <xf numFmtId="0" fontId="31" fillId="0" borderId="126" xfId="57" applyFont="1" applyBorder="1" applyAlignment="1">
      <alignment horizontal="center" vertical="center" wrapText="1"/>
      <protection/>
    </xf>
    <xf numFmtId="0" fontId="31" fillId="0" borderId="34" xfId="57" applyFont="1" applyBorder="1" applyAlignment="1">
      <alignment horizontal="center" vertical="center" wrapText="1"/>
      <protection/>
    </xf>
    <xf numFmtId="0" fontId="31" fillId="0" borderId="28" xfId="57" applyFont="1" applyBorder="1" applyAlignment="1">
      <alignment horizontal="center" vertical="center" wrapText="1"/>
      <protection/>
    </xf>
    <xf numFmtId="0" fontId="31" fillId="0" borderId="70" xfId="57" applyFont="1" applyBorder="1" applyAlignment="1">
      <alignment horizontal="center" vertical="center" wrapText="1"/>
      <protection/>
    </xf>
    <xf numFmtId="0" fontId="31" fillId="0" borderId="35" xfId="57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7" applyBorder="1" applyAlignment="1">
      <alignment vertical="center" wrapText="1"/>
      <protection/>
    </xf>
    <xf numFmtId="49" fontId="31" fillId="0" borderId="0" xfId="57" applyNumberFormat="1" applyFont="1" applyBorder="1" applyAlignment="1">
      <alignment horizontal="center" wrapText="1"/>
      <protection/>
    </xf>
    <xf numFmtId="0" fontId="28" fillId="0" borderId="0" xfId="57" applyFont="1" applyBorder="1" applyAlignment="1">
      <alignment horizontal="center" wrapText="1"/>
      <protection/>
    </xf>
    <xf numFmtId="0" fontId="31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33" fillId="0" borderId="0" xfId="57" applyFont="1" applyBorder="1" applyAlignment="1">
      <alignment horizontal="center" wrapText="1"/>
      <protection/>
    </xf>
    <xf numFmtId="49" fontId="7" fillId="0" borderId="0" xfId="57" applyNumberFormat="1" applyFont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wrapText="1"/>
      <protection/>
    </xf>
    <xf numFmtId="0" fontId="7" fillId="0" borderId="0" xfId="57" applyFont="1" applyBorder="1" applyAlignment="1">
      <alignment horizontal="center" wrapText="1"/>
      <protection/>
    </xf>
    <xf numFmtId="0" fontId="7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horizontal="center" vertical="center" textRotation="90"/>
      <protection/>
    </xf>
    <xf numFmtId="0" fontId="9" fillId="0" borderId="10" xfId="0" applyFont="1" applyBorder="1" applyAlignment="1">
      <alignment horizontal="center" vertical="center"/>
    </xf>
    <xf numFmtId="0" fontId="29" fillId="0" borderId="16" xfId="53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1" xfId="57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26" xfId="57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70" xfId="57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8" fillId="0" borderId="126" xfId="56" applyFont="1" applyFill="1" applyBorder="1" applyAlignment="1">
      <alignment wrapText="1"/>
      <protection/>
    </xf>
    <xf numFmtId="0" fontId="28" fillId="0" borderId="34" xfId="56" applyFont="1" applyFill="1" applyBorder="1" applyAlignment="1">
      <alignment wrapText="1"/>
      <protection/>
    </xf>
    <xf numFmtId="0" fontId="28" fillId="0" borderId="31" xfId="56" applyFont="1" applyFill="1" applyBorder="1" applyAlignment="1">
      <alignment wrapText="1"/>
      <protection/>
    </xf>
    <xf numFmtId="0" fontId="28" fillId="0" borderId="0" xfId="56" applyFont="1" applyFill="1" applyAlignment="1">
      <alignment wrapText="1"/>
      <protection/>
    </xf>
    <xf numFmtId="0" fontId="28" fillId="0" borderId="32" xfId="56" applyFont="1" applyFill="1" applyBorder="1" applyAlignment="1">
      <alignment wrapText="1"/>
      <protection/>
    </xf>
    <xf numFmtId="0" fontId="28" fillId="0" borderId="28" xfId="56" applyFont="1" applyFill="1" applyBorder="1" applyAlignment="1">
      <alignment wrapText="1"/>
      <protection/>
    </xf>
    <xf numFmtId="0" fontId="28" fillId="0" borderId="70" xfId="56" applyFont="1" applyFill="1" applyBorder="1" applyAlignment="1">
      <alignment wrapText="1"/>
      <protection/>
    </xf>
    <xf numFmtId="0" fontId="28" fillId="0" borderId="35" xfId="56" applyFont="1" applyFill="1" applyBorder="1" applyAlignment="1">
      <alignment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122" xfId="0" applyFont="1" applyFill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7" fillId="0" borderId="10" xfId="57" applyFont="1" applyBorder="1" applyAlignment="1">
      <alignment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26" xfId="57" applyFont="1" applyBorder="1" applyAlignment="1">
      <alignment horizontal="center" vertical="center" wrapText="1"/>
      <protection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1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33" fillId="0" borderId="32" xfId="57" applyFont="1" applyBorder="1" applyAlignment="1">
      <alignment horizontal="center" vertical="center" wrapText="1"/>
      <protection/>
    </xf>
    <xf numFmtId="0" fontId="33" fillId="0" borderId="28" xfId="57" applyFont="1" applyBorder="1" applyAlignment="1">
      <alignment horizontal="center" vertical="center" wrapText="1"/>
      <protection/>
    </xf>
    <xf numFmtId="0" fontId="33" fillId="0" borderId="70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39" fillId="0" borderId="0" xfId="0" applyFont="1" applyBorder="1" applyAlignment="1">
      <alignment horizontal="center"/>
    </xf>
    <xf numFmtId="0" fontId="26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2" fillId="0" borderId="0" xfId="57" applyFont="1" applyAlignment="1">
      <alignment horizontal="left" wrapText="1"/>
      <protection/>
    </xf>
    <xf numFmtId="0" fontId="25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26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4" fillId="0" borderId="0" xfId="57" applyFont="1" applyBorder="1" applyAlignment="1">
      <alignment horizontal="center" wrapText="1"/>
      <protection/>
    </xf>
    <xf numFmtId="0" fontId="0" fillId="0" borderId="0" xfId="57" applyAlignment="1">
      <alignment horizont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2" fillId="0" borderId="0" xfId="57" applyFont="1" applyFill="1" applyBorder="1" applyAlignment="1">
      <alignment horizontal="left" vertical="center" wrapText="1"/>
      <protection/>
    </xf>
    <xf numFmtId="0" fontId="25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7" fillId="0" borderId="0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0" fillId="0" borderId="0" xfId="57" applyAlignment="1">
      <alignment vertical="top" wrapText="1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2" fillId="0" borderId="0" xfId="57" applyFont="1" applyBorder="1" applyAlignment="1">
      <alignment horizontal="left" vertical="top" wrapText="1"/>
      <protection/>
    </xf>
    <xf numFmtId="0" fontId="0" fillId="0" borderId="0" xfId="57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49" fontId="10" fillId="0" borderId="16" xfId="57" applyNumberFormat="1" applyFont="1" applyBorder="1" applyAlignment="1">
      <alignment horizontal="center" vertical="center" wrapText="1"/>
      <protection/>
    </xf>
    <xf numFmtId="0" fontId="30" fillId="0" borderId="126" xfId="57" applyFont="1" applyBorder="1" applyAlignment="1">
      <alignment horizontal="center" vertical="center" wrapText="1"/>
      <protection/>
    </xf>
    <xf numFmtId="0" fontId="30" fillId="0" borderId="34" xfId="57" applyFont="1" applyBorder="1" applyAlignment="1">
      <alignment horizontal="center" vertical="center" wrapText="1"/>
      <protection/>
    </xf>
    <xf numFmtId="0" fontId="30" fillId="0" borderId="31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70" xfId="57" applyFont="1" applyBorder="1" applyAlignment="1">
      <alignment horizontal="center" vertical="center" wrapText="1"/>
      <protection/>
    </xf>
    <xf numFmtId="0" fontId="30" fillId="0" borderId="35" xfId="57" applyFont="1" applyBorder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22" fillId="0" borderId="0" xfId="57" applyFont="1" applyBorder="1" applyAlignment="1">
      <alignment horizontal="left" vertical="center" wrapText="1"/>
      <protection/>
    </xf>
    <xf numFmtId="0" fontId="25" fillId="0" borderId="0" xfId="57" applyFont="1" applyAlignment="1">
      <alignment horizontal="left" vertical="center" wrapText="1"/>
      <protection/>
    </xf>
    <xf numFmtId="49" fontId="9" fillId="0" borderId="112" xfId="54" applyNumberFormat="1" applyFont="1" applyFill="1" applyBorder="1" applyAlignment="1" applyProtection="1">
      <alignment horizontal="center" vertical="center"/>
      <protection/>
    </xf>
    <xf numFmtId="49" fontId="9" fillId="0" borderId="127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0" fillId="0" borderId="143" xfId="0" applyNumberFormat="1" applyFont="1" applyFill="1" applyBorder="1" applyAlignment="1" applyProtection="1">
      <alignment horizontal="center" vertical="center"/>
      <protection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191" fontId="11" fillId="0" borderId="146" xfId="0" applyNumberFormat="1" applyFont="1" applyFill="1" applyBorder="1" applyAlignment="1" applyProtection="1">
      <alignment horizontal="center" vertical="center"/>
      <protection/>
    </xf>
    <xf numFmtId="191" fontId="11" fillId="0" borderId="147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 wrapText="1"/>
      <protection/>
    </xf>
    <xf numFmtId="190" fontId="11" fillId="0" borderId="148" xfId="0" applyNumberFormat="1" applyFont="1" applyFill="1" applyBorder="1" applyAlignment="1" applyProtection="1">
      <alignment horizontal="center" vertical="center" wrapText="1"/>
      <protection/>
    </xf>
    <xf numFmtId="190" fontId="11" fillId="0" borderId="129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46" xfId="0" applyNumberFormat="1" applyFont="1" applyFill="1" applyBorder="1" applyAlignment="1" applyProtection="1">
      <alignment horizontal="center" vertical="center" wrapText="1"/>
      <protection/>
    </xf>
    <xf numFmtId="49" fontId="11" fillId="0" borderId="147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49" xfId="0" applyNumberFormat="1" applyFont="1" applyFill="1" applyBorder="1" applyAlignment="1" applyProtection="1">
      <alignment horizontal="center" vertical="center"/>
      <protection/>
    </xf>
    <xf numFmtId="0" fontId="0" fillId="0" borderId="132" xfId="0" applyFill="1" applyBorder="1" applyAlignment="1">
      <alignment/>
    </xf>
    <xf numFmtId="0" fontId="0" fillId="0" borderId="150" xfId="0" applyFill="1" applyBorder="1" applyAlignment="1">
      <alignment/>
    </xf>
    <xf numFmtId="49" fontId="11" fillId="0" borderId="151" xfId="0" applyNumberFormat="1" applyFont="1" applyFill="1" applyBorder="1" applyAlignment="1" applyProtection="1">
      <alignment horizontal="center" vertical="center" wrapText="1"/>
      <protection/>
    </xf>
    <xf numFmtId="49" fontId="11" fillId="0" borderId="152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90" fontId="9" fillId="0" borderId="71" xfId="0" applyNumberFormat="1" applyFont="1" applyFill="1" applyBorder="1" applyAlignment="1" applyProtection="1">
      <alignment horizontal="center" wrapText="1"/>
      <protection/>
    </xf>
    <xf numFmtId="0" fontId="0" fillId="0" borderId="153" xfId="0" applyFont="1" applyFill="1" applyBorder="1" applyAlignment="1">
      <alignment horizontal="center" wrapText="1"/>
    </xf>
    <xf numFmtId="190" fontId="9" fillId="0" borderId="81" xfId="0" applyNumberFormat="1" applyFont="1" applyFill="1" applyBorder="1" applyAlignment="1" applyProtection="1">
      <alignment horizontal="center" textRotation="90" wrapText="1"/>
      <protection/>
    </xf>
    <xf numFmtId="0" fontId="10" fillId="0" borderId="154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1" fontId="11" fillId="0" borderId="155" xfId="0" applyNumberFormat="1" applyFont="1" applyFill="1" applyBorder="1" applyAlignment="1" applyProtection="1">
      <alignment horizontal="center" vertical="center"/>
      <protection/>
    </xf>
    <xf numFmtId="0" fontId="6" fillId="0" borderId="156" xfId="0" applyNumberFormat="1" applyFont="1" applyFill="1" applyBorder="1" applyAlignment="1" applyProtection="1">
      <alignment horizontal="center" vertical="center" wrapText="1"/>
      <protection/>
    </xf>
    <xf numFmtId="0" fontId="6" fillId="0" borderId="147" xfId="0" applyNumberFormat="1" applyFont="1" applyFill="1" applyBorder="1" applyAlignment="1" applyProtection="1">
      <alignment horizontal="center" vertical="center" wrapText="1"/>
      <protection/>
    </xf>
    <xf numFmtId="0" fontId="0" fillId="0" borderId="147" xfId="0" applyFont="1" applyFill="1" applyBorder="1" applyAlignment="1">
      <alignment horizontal="center" vertical="center" wrapText="1"/>
    </xf>
    <xf numFmtId="0" fontId="0" fillId="0" borderId="157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0" fillId="0" borderId="86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textRotation="90" wrapText="1"/>
    </xf>
    <xf numFmtId="190" fontId="9" fillId="0" borderId="160" xfId="0" applyNumberFormat="1" applyFont="1" applyFill="1" applyBorder="1" applyAlignment="1" applyProtection="1">
      <alignment horizontal="center" vertical="center" wrapText="1"/>
      <protection/>
    </xf>
    <xf numFmtId="190" fontId="9" fillId="0" borderId="161" xfId="0" applyNumberFormat="1" applyFont="1" applyFill="1" applyBorder="1" applyAlignment="1" applyProtection="1">
      <alignment horizontal="center" vertical="center" wrapText="1"/>
      <protection/>
    </xf>
    <xf numFmtId="0" fontId="0" fillId="0" borderId="162" xfId="0" applyFont="1" applyFill="1" applyBorder="1" applyAlignment="1">
      <alignment horizontal="center" vertical="center" wrapText="1"/>
    </xf>
    <xf numFmtId="190" fontId="9" fillId="0" borderId="163" xfId="0" applyNumberFormat="1" applyFont="1" applyFill="1" applyBorder="1" applyAlignment="1" applyProtection="1">
      <alignment horizontal="center" textRotation="90" wrapText="1"/>
      <protection/>
    </xf>
    <xf numFmtId="190" fontId="9" fillId="0" borderId="164" xfId="0" applyNumberFormat="1" applyFont="1" applyFill="1" applyBorder="1" applyAlignment="1" applyProtection="1">
      <alignment horizontal="center" textRotation="90" wrapText="1"/>
      <protection/>
    </xf>
    <xf numFmtId="0" fontId="10" fillId="0" borderId="132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textRotation="90" wrapText="1"/>
      <protection/>
    </xf>
    <xf numFmtId="190" fontId="9" fillId="0" borderId="165" xfId="0" applyNumberFormat="1" applyFont="1" applyFill="1" applyBorder="1" applyAlignment="1" applyProtection="1">
      <alignment horizontal="center" vertical="center"/>
      <protection/>
    </xf>
    <xf numFmtId="190" fontId="9" fillId="0" borderId="166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67" xfId="0" applyNumberFormat="1" applyFont="1" applyFill="1" applyBorder="1" applyAlignment="1" applyProtection="1">
      <alignment horizontal="center" vertical="center"/>
      <protection/>
    </xf>
    <xf numFmtId="190" fontId="9" fillId="0" borderId="158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62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68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59" xfId="0" applyNumberFormat="1" applyFont="1" applyFill="1" applyBorder="1" applyAlignment="1" applyProtection="1">
      <alignment horizontal="center" vertical="center"/>
      <protection/>
    </xf>
    <xf numFmtId="0" fontId="9" fillId="0" borderId="169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70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11" fillId="0" borderId="146" xfId="0" applyFont="1" applyFill="1" applyBorder="1" applyAlignment="1">
      <alignment horizontal="center" vertical="center" wrapText="1"/>
    </xf>
    <xf numFmtId="0" fontId="11" fillId="0" borderId="147" xfId="0" applyFont="1" applyFill="1" applyBorder="1" applyAlignment="1">
      <alignment horizontal="center" vertical="center" wrapText="1"/>
    </xf>
    <xf numFmtId="0" fontId="11" fillId="0" borderId="157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190" fontId="11" fillId="0" borderId="155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8" xfId="54" applyNumberFormat="1" applyFont="1" applyFill="1" applyBorder="1" applyAlignment="1" applyProtection="1">
      <alignment horizontal="center" vertical="center"/>
      <protection/>
    </xf>
    <xf numFmtId="190" fontId="9" fillId="0" borderId="171" xfId="0" applyNumberFormat="1" applyFont="1" applyFill="1" applyBorder="1" applyAlignment="1" applyProtection="1">
      <alignment horizontal="center" vertical="center"/>
      <protection/>
    </xf>
    <xf numFmtId="190" fontId="9" fillId="0" borderId="172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/>
      <protection/>
    </xf>
    <xf numFmtId="190" fontId="9" fillId="0" borderId="172" xfId="0" applyNumberFormat="1" applyFont="1" applyFill="1" applyBorder="1" applyAlignment="1" applyProtection="1">
      <alignment horizontal="center"/>
      <protection/>
    </xf>
    <xf numFmtId="190" fontId="9" fillId="0" borderId="81" xfId="0" applyNumberFormat="1" applyFont="1" applyFill="1" applyBorder="1" applyAlignment="1" applyProtection="1">
      <alignment horizontal="center"/>
      <protection/>
    </xf>
    <xf numFmtId="190" fontId="9" fillId="0" borderId="53" xfId="0" applyNumberFormat="1" applyFont="1" applyFill="1" applyBorder="1" applyAlignment="1" applyProtection="1">
      <alignment horizontal="center" textRotation="90" wrapText="1"/>
      <protection/>
    </xf>
    <xf numFmtId="0" fontId="0" fillId="0" borderId="87" xfId="0" applyFont="1" applyFill="1" applyBorder="1" applyAlignment="1">
      <alignment horizontal="center" textRotation="90" wrapText="1"/>
    </xf>
    <xf numFmtId="0" fontId="0" fillId="0" borderId="80" xfId="0" applyFont="1" applyFill="1" applyBorder="1" applyAlignment="1">
      <alignment horizont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190" fontId="9" fillId="0" borderId="163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64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73" xfId="0" applyNumberFormat="1" applyFont="1" applyFill="1" applyBorder="1" applyAlignment="1" applyProtection="1">
      <alignment horizontal="center" vertical="center" wrapText="1"/>
      <protection/>
    </xf>
    <xf numFmtId="190" fontId="9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0" applyFont="1" applyFill="1" applyBorder="1" applyAlignment="1">
      <alignment horizontal="center" vertical="center" wrapText="1"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1" fontId="36" fillId="0" borderId="155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26" xfId="0" applyNumberFormat="1" applyFont="1" applyFill="1" applyBorder="1" applyAlignment="1">
      <alignment horizontal="center" vertical="center" wrapText="1"/>
    </xf>
    <xf numFmtId="0" fontId="0" fillId="0" borderId="12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153" xfId="0" applyFont="1" applyFill="1" applyBorder="1" applyAlignment="1">
      <alignment horizontal="center" vertical="center" wrapText="1"/>
    </xf>
    <xf numFmtId="191" fontId="36" fillId="0" borderId="146" xfId="0" applyNumberFormat="1" applyFont="1" applyFill="1" applyBorder="1" applyAlignment="1" applyProtection="1">
      <alignment horizontal="center" vertical="center"/>
      <protection/>
    </xf>
    <xf numFmtId="191" fontId="36" fillId="0" borderId="14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9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7" fillId="0" borderId="149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7" fillId="0" borderId="176" xfId="0" applyFont="1" applyFill="1" applyBorder="1" applyAlignment="1">
      <alignment horizontal="center"/>
    </xf>
    <xf numFmtId="0" fontId="7" fillId="0" borderId="149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17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/>
    </xf>
    <xf numFmtId="191" fontId="11" fillId="0" borderId="151" xfId="0" applyNumberFormat="1" applyFont="1" applyFill="1" applyBorder="1" applyAlignment="1" applyProtection="1">
      <alignment horizontal="center" vertical="center"/>
      <protection/>
    </xf>
    <xf numFmtId="191" fontId="11" fillId="0" borderId="152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 Уч(бакал.) д_о 2013_14а 2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tabSelected="1"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9" t="s">
        <v>82</v>
      </c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745" t="s">
        <v>248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745" t="s">
        <v>249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53" t="s">
        <v>26</v>
      </c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75" t="s">
        <v>388</v>
      </c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</row>
    <row r="5" spans="1:53" ht="26.25" customHeight="1">
      <c r="A5" s="745" t="s">
        <v>395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776"/>
      <c r="AO5" s="776"/>
      <c r="AP5" s="776"/>
      <c r="AQ5" s="776"/>
      <c r="AR5" s="776"/>
      <c r="AS5" s="776"/>
      <c r="AT5" s="776"/>
      <c r="AU5" s="776"/>
      <c r="AV5" s="776"/>
      <c r="AW5" s="776"/>
      <c r="AX5" s="776"/>
      <c r="AY5" s="776"/>
      <c r="AZ5" s="776"/>
      <c r="BA5" s="776"/>
    </row>
    <row r="6" spans="1:53" s="110" customFormat="1" ht="27.75" customHeight="1">
      <c r="A6" s="773" t="s">
        <v>396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777" t="s">
        <v>347</v>
      </c>
      <c r="AO6" s="778"/>
      <c r="AP6" s="778"/>
      <c r="AQ6" s="778"/>
      <c r="AR6" s="778"/>
      <c r="AS6" s="778"/>
      <c r="AT6" s="778"/>
      <c r="AU6" s="778"/>
      <c r="AV6" s="778"/>
      <c r="AW6" s="778"/>
      <c r="AX6" s="778"/>
      <c r="AY6" s="778"/>
      <c r="AZ6" s="778"/>
      <c r="BA6" s="778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770" t="s">
        <v>348</v>
      </c>
      <c r="AO7" s="771"/>
      <c r="AP7" s="771"/>
      <c r="AQ7" s="771"/>
      <c r="AR7" s="771"/>
      <c r="AS7" s="771"/>
      <c r="AT7" s="771"/>
      <c r="AU7" s="771"/>
      <c r="AV7" s="771"/>
      <c r="AW7" s="771"/>
      <c r="AX7" s="771"/>
      <c r="AY7" s="771"/>
      <c r="AZ7" s="771"/>
      <c r="BA7" s="771"/>
    </row>
    <row r="8" spans="1:53" s="110" customFormat="1" ht="28.5" customHeight="1">
      <c r="A8" s="745" t="s">
        <v>25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771"/>
      <c r="AO8" s="771"/>
      <c r="AP8" s="771"/>
      <c r="AQ8" s="771"/>
      <c r="AR8" s="771"/>
      <c r="AS8" s="771"/>
      <c r="AT8" s="771"/>
      <c r="AU8" s="771"/>
      <c r="AV8" s="771"/>
      <c r="AW8" s="771"/>
      <c r="AX8" s="771"/>
      <c r="AY8" s="771"/>
      <c r="AZ8" s="771"/>
      <c r="BA8" s="771"/>
    </row>
    <row r="9" spans="1:53" s="110" customFormat="1" ht="24.75" customHeight="1">
      <c r="A9" s="745" t="s">
        <v>250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</row>
    <row r="10" spans="1:56" s="110" customFormat="1" ht="27" customHeight="1">
      <c r="A10" s="768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46" t="s">
        <v>85</v>
      </c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  <c r="AL10" s="747"/>
      <c r="AM10" s="747"/>
      <c r="AN10" s="706"/>
      <c r="AO10" s="706"/>
      <c r="AP10" s="706"/>
      <c r="AQ10" s="706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</row>
    <row r="11" spans="16:56" s="110" customFormat="1" ht="27.75" customHeight="1">
      <c r="P11" s="790" t="s">
        <v>93</v>
      </c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</row>
    <row r="12" spans="16:56" s="110" customFormat="1" ht="27.75" customHeight="1">
      <c r="P12" s="758" t="s">
        <v>229</v>
      </c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759"/>
      <c r="AK12" s="759"/>
      <c r="AL12" s="108"/>
      <c r="AM12" s="108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  <c r="AY12" s="706"/>
      <c r="AZ12" s="706"/>
      <c r="BA12" s="706"/>
      <c r="BB12" s="706"/>
      <c r="BC12" s="706"/>
      <c r="BD12" s="706"/>
    </row>
    <row r="13" spans="16:56" s="110" customFormat="1" ht="27.75" customHeight="1">
      <c r="P13" s="788" t="s">
        <v>386</v>
      </c>
      <c r="Q13" s="789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89"/>
      <c r="AE13" s="789"/>
      <c r="AF13" s="789"/>
      <c r="AG13" s="789"/>
      <c r="AH13" s="789"/>
      <c r="AI13" s="789"/>
      <c r="AJ13" s="789"/>
      <c r="AK13" s="123"/>
      <c r="AL13" s="108"/>
      <c r="AM13" s="108"/>
      <c r="AN13" s="706"/>
      <c r="AO13" s="706"/>
      <c r="AP13" s="706"/>
      <c r="AQ13" s="706"/>
      <c r="AR13" s="706"/>
      <c r="AS13" s="706"/>
      <c r="AT13" s="706"/>
      <c r="AU13" s="706"/>
      <c r="AV13" s="706"/>
      <c r="AW13" s="706"/>
      <c r="AX13" s="706"/>
      <c r="AY13" s="706"/>
      <c r="AZ13" s="706"/>
      <c r="BA13" s="706"/>
      <c r="BB13" s="706"/>
      <c r="BC13" s="706"/>
      <c r="BD13" s="706"/>
    </row>
    <row r="14" spans="16:56" s="110" customFormat="1" ht="27.75" customHeight="1">
      <c r="P14" s="748" t="s">
        <v>273</v>
      </c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50"/>
      <c r="AK14" s="750"/>
      <c r="AL14" s="750"/>
      <c r="AM14" s="112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</row>
    <row r="15" spans="16:56" s="110" customFormat="1" ht="27.75" customHeight="1">
      <c r="P15" s="765" t="s">
        <v>387</v>
      </c>
      <c r="Q15" s="76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6"/>
      <c r="AD15" s="766"/>
      <c r="AE15" s="766"/>
      <c r="AF15" s="766"/>
      <c r="AG15" s="767"/>
      <c r="AH15" s="767"/>
      <c r="AI15" s="767"/>
      <c r="AJ15" s="767"/>
      <c r="AK15" s="767"/>
      <c r="AL15" s="767"/>
      <c r="AM15" s="767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</row>
    <row r="16" spans="16:56" s="110" customFormat="1" ht="28.5" customHeight="1">
      <c r="P16" s="751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06"/>
      <c r="AO16" s="706"/>
      <c r="AP16" s="706"/>
      <c r="AQ16" s="706"/>
      <c r="AR16" s="706"/>
      <c r="AS16" s="706"/>
      <c r="AT16" s="706"/>
      <c r="AU16" s="706"/>
      <c r="AV16" s="706"/>
      <c r="AW16" s="706"/>
      <c r="AX16" s="706"/>
      <c r="AY16" s="706"/>
      <c r="AZ16" s="706"/>
      <c r="BA16" s="706"/>
      <c r="BB16" s="706"/>
      <c r="BC16" s="706"/>
      <c r="BD16" s="706"/>
    </row>
    <row r="17" spans="16:56" s="110" customFormat="1" ht="28.5" customHeight="1">
      <c r="P17" s="791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52"/>
      <c r="AH17" s="752"/>
      <c r="AI17" s="752"/>
      <c r="AJ17" s="752"/>
      <c r="AK17" s="752"/>
      <c r="AL17" s="752"/>
      <c r="AM17" s="752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</row>
    <row r="18" spans="40:56" s="110" customFormat="1" ht="27.75" customHeight="1">
      <c r="AN18" s="764"/>
      <c r="AO18" s="764"/>
      <c r="AP18" s="764"/>
      <c r="AQ18" s="764"/>
      <c r="AR18" s="764"/>
      <c r="AS18" s="764"/>
      <c r="AT18" s="764"/>
      <c r="AU18" s="764"/>
      <c r="AV18" s="764"/>
      <c r="AW18" s="764"/>
      <c r="AX18" s="764"/>
      <c r="AY18" s="764"/>
      <c r="AZ18" s="764"/>
      <c r="BA18" s="764"/>
      <c r="BB18" s="764"/>
      <c r="BC18" s="764"/>
      <c r="BD18" s="764"/>
    </row>
    <row r="19" spans="1:53" s="110" customFormat="1" ht="25.5">
      <c r="A19" s="746" t="s">
        <v>334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746"/>
      <c r="AK19" s="746"/>
      <c r="AL19" s="746"/>
      <c r="AM19" s="746"/>
      <c r="AN19" s="746"/>
      <c r="AO19" s="746"/>
      <c r="AP19" s="746"/>
      <c r="AQ19" s="746"/>
      <c r="AR19" s="746"/>
      <c r="AS19" s="746"/>
      <c r="AT19" s="746"/>
      <c r="AU19" s="746"/>
      <c r="AV19" s="746"/>
      <c r="AW19" s="746"/>
      <c r="AX19" s="746"/>
      <c r="AY19" s="746"/>
      <c r="AZ19" s="746"/>
      <c r="BA19" s="746"/>
    </row>
    <row r="20" spans="1:53" ht="18" customHeight="1">
      <c r="A20" s="707" t="s">
        <v>22</v>
      </c>
      <c r="B20" s="708" t="s">
        <v>10</v>
      </c>
      <c r="C20" s="708"/>
      <c r="D20" s="708"/>
      <c r="E20" s="708"/>
      <c r="F20" s="708" t="s">
        <v>11</v>
      </c>
      <c r="G20" s="708"/>
      <c r="H20" s="708"/>
      <c r="I20" s="708"/>
      <c r="J20" s="708" t="s">
        <v>12</v>
      </c>
      <c r="K20" s="708"/>
      <c r="L20" s="708"/>
      <c r="M20" s="708"/>
      <c r="N20" s="708" t="s">
        <v>13</v>
      </c>
      <c r="O20" s="708"/>
      <c r="P20" s="708"/>
      <c r="Q20" s="708"/>
      <c r="R20" s="708"/>
      <c r="S20" s="755" t="s">
        <v>14</v>
      </c>
      <c r="T20" s="763"/>
      <c r="U20" s="763"/>
      <c r="V20" s="763"/>
      <c r="W20" s="757"/>
      <c r="X20" s="755" t="s">
        <v>15</v>
      </c>
      <c r="Y20" s="756"/>
      <c r="Z20" s="756"/>
      <c r="AA20" s="757"/>
      <c r="AB20" s="708" t="s">
        <v>16</v>
      </c>
      <c r="AC20" s="708"/>
      <c r="AD20" s="708"/>
      <c r="AE20" s="708"/>
      <c r="AF20" s="708" t="s">
        <v>17</v>
      </c>
      <c r="AG20" s="708"/>
      <c r="AH20" s="708"/>
      <c r="AI20" s="708"/>
      <c r="AJ20" s="755" t="s">
        <v>18</v>
      </c>
      <c r="AK20" s="763"/>
      <c r="AL20" s="763"/>
      <c r="AM20" s="763"/>
      <c r="AN20" s="757"/>
      <c r="AO20" s="755" t="s">
        <v>19</v>
      </c>
      <c r="AP20" s="756"/>
      <c r="AQ20" s="756"/>
      <c r="AR20" s="757"/>
      <c r="AS20" s="708" t="s">
        <v>20</v>
      </c>
      <c r="AT20" s="708"/>
      <c r="AU20" s="708"/>
      <c r="AV20" s="708"/>
      <c r="AW20" s="708" t="s">
        <v>21</v>
      </c>
      <c r="AX20" s="708"/>
      <c r="AY20" s="708"/>
      <c r="AZ20" s="708"/>
      <c r="BA20" s="708"/>
    </row>
    <row r="21" spans="1:53" s="113" customFormat="1" ht="20.25" customHeight="1">
      <c r="A21" s="707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264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264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271</v>
      </c>
      <c r="AS23" s="730" t="s">
        <v>47</v>
      </c>
      <c r="AT23" s="731"/>
      <c r="AU23" s="731"/>
      <c r="AV23" s="731"/>
      <c r="AW23" s="731"/>
      <c r="AX23" s="731"/>
      <c r="AY23" s="731"/>
      <c r="AZ23" s="731"/>
      <c r="BA23" s="732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64" t="s">
        <v>339</v>
      </c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/>
      <c r="AT25" s="664"/>
      <c r="AU25" s="664"/>
      <c r="AV25" s="664"/>
      <c r="AW25" s="664"/>
      <c r="AX25" s="664"/>
      <c r="AY25" s="664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43" t="s">
        <v>331</v>
      </c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44"/>
      <c r="AN27" s="744"/>
      <c r="AO27" s="744"/>
      <c r="AP27" s="744"/>
      <c r="AQ27" s="744"/>
      <c r="AR27" s="744"/>
      <c r="AS27" s="744"/>
      <c r="AT27" s="744"/>
      <c r="AU27" s="744"/>
      <c r="AV27" s="744"/>
      <c r="AW27" s="744"/>
      <c r="AX27" s="744"/>
      <c r="AY27" s="744"/>
      <c r="AZ27" s="744"/>
      <c r="BA27" s="744"/>
    </row>
    <row r="28" spans="1:53" ht="22.5" customHeight="1">
      <c r="A28" s="709" t="s">
        <v>22</v>
      </c>
      <c r="B28" s="710"/>
      <c r="C28" s="728" t="s">
        <v>23</v>
      </c>
      <c r="D28" s="716"/>
      <c r="E28" s="716"/>
      <c r="F28" s="710"/>
      <c r="G28" s="734" t="s">
        <v>272</v>
      </c>
      <c r="H28" s="735"/>
      <c r="I28" s="736"/>
      <c r="J28" s="715" t="s">
        <v>6</v>
      </c>
      <c r="K28" s="716"/>
      <c r="L28" s="716"/>
      <c r="M28" s="710"/>
      <c r="N28" s="715" t="s">
        <v>88</v>
      </c>
      <c r="O28" s="716"/>
      <c r="P28" s="710"/>
      <c r="Q28" s="719" t="s">
        <v>340</v>
      </c>
      <c r="R28" s="720"/>
      <c r="S28" s="721"/>
      <c r="T28" s="715" t="s">
        <v>89</v>
      </c>
      <c r="U28" s="716"/>
      <c r="V28" s="710"/>
      <c r="W28" s="715" t="s">
        <v>90</v>
      </c>
      <c r="X28" s="716"/>
      <c r="Y28" s="710"/>
      <c r="Z28" s="118"/>
      <c r="AA28" s="729" t="s">
        <v>91</v>
      </c>
      <c r="AB28" s="729"/>
      <c r="AC28" s="729"/>
      <c r="AD28" s="729"/>
      <c r="AE28" s="729"/>
      <c r="AF28" s="670" t="s">
        <v>262</v>
      </c>
      <c r="AG28" s="670"/>
      <c r="AH28" s="670"/>
      <c r="AI28" s="670" t="s">
        <v>92</v>
      </c>
      <c r="AJ28" s="670"/>
      <c r="AK28" s="670"/>
      <c r="AL28" s="119"/>
      <c r="AM28" s="779" t="s">
        <v>332</v>
      </c>
      <c r="AN28" s="780"/>
      <c r="AO28" s="781"/>
      <c r="AP28" s="669" t="s">
        <v>333</v>
      </c>
      <c r="AQ28" s="670"/>
      <c r="AR28" s="670"/>
      <c r="AS28" s="670"/>
      <c r="AT28" s="670"/>
      <c r="AU28" s="670"/>
      <c r="AV28" s="670"/>
      <c r="AW28" s="670"/>
      <c r="AX28" s="670" t="s">
        <v>262</v>
      </c>
      <c r="AY28" s="670"/>
      <c r="AZ28" s="670"/>
      <c r="BA28" s="733"/>
    </row>
    <row r="29" spans="1:53" ht="15.75" customHeight="1">
      <c r="A29" s="711"/>
      <c r="B29" s="712"/>
      <c r="C29" s="711"/>
      <c r="D29" s="717"/>
      <c r="E29" s="717"/>
      <c r="F29" s="712"/>
      <c r="G29" s="737"/>
      <c r="H29" s="738"/>
      <c r="I29" s="739"/>
      <c r="J29" s="711"/>
      <c r="K29" s="717"/>
      <c r="L29" s="717"/>
      <c r="M29" s="712"/>
      <c r="N29" s="711"/>
      <c r="O29" s="717"/>
      <c r="P29" s="712"/>
      <c r="Q29" s="722"/>
      <c r="R29" s="723"/>
      <c r="S29" s="724"/>
      <c r="T29" s="711"/>
      <c r="U29" s="717"/>
      <c r="V29" s="712"/>
      <c r="W29" s="711"/>
      <c r="X29" s="717"/>
      <c r="Y29" s="712"/>
      <c r="Z29" s="118"/>
      <c r="AA29" s="729"/>
      <c r="AB29" s="729"/>
      <c r="AC29" s="729"/>
      <c r="AD29" s="729"/>
      <c r="AE29" s="729"/>
      <c r="AF29" s="670"/>
      <c r="AG29" s="670"/>
      <c r="AH29" s="670"/>
      <c r="AI29" s="670"/>
      <c r="AJ29" s="670"/>
      <c r="AK29" s="670"/>
      <c r="AL29" s="120"/>
      <c r="AM29" s="782"/>
      <c r="AN29" s="783"/>
      <c r="AO29" s="784"/>
      <c r="AP29" s="669"/>
      <c r="AQ29" s="670"/>
      <c r="AR29" s="670"/>
      <c r="AS29" s="670"/>
      <c r="AT29" s="670"/>
      <c r="AU29" s="670"/>
      <c r="AV29" s="670"/>
      <c r="AW29" s="670"/>
      <c r="AX29" s="670"/>
      <c r="AY29" s="670"/>
      <c r="AZ29" s="670"/>
      <c r="BA29" s="733"/>
    </row>
    <row r="30" spans="1:53" ht="58.5" customHeight="1">
      <c r="A30" s="713"/>
      <c r="B30" s="714"/>
      <c r="C30" s="713"/>
      <c r="D30" s="718"/>
      <c r="E30" s="718"/>
      <c r="F30" s="714"/>
      <c r="G30" s="740"/>
      <c r="H30" s="741"/>
      <c r="I30" s="742"/>
      <c r="J30" s="713"/>
      <c r="K30" s="718"/>
      <c r="L30" s="718"/>
      <c r="M30" s="714"/>
      <c r="N30" s="713"/>
      <c r="O30" s="718"/>
      <c r="P30" s="714"/>
      <c r="Q30" s="725"/>
      <c r="R30" s="726"/>
      <c r="S30" s="727"/>
      <c r="T30" s="713"/>
      <c r="U30" s="718"/>
      <c r="V30" s="714"/>
      <c r="W30" s="713"/>
      <c r="X30" s="718"/>
      <c r="Y30" s="714"/>
      <c r="Z30" s="118"/>
      <c r="AA30" s="729"/>
      <c r="AB30" s="729"/>
      <c r="AC30" s="729"/>
      <c r="AD30" s="729"/>
      <c r="AE30" s="729"/>
      <c r="AF30" s="670"/>
      <c r="AG30" s="670"/>
      <c r="AH30" s="670"/>
      <c r="AI30" s="670"/>
      <c r="AJ30" s="670"/>
      <c r="AK30" s="670"/>
      <c r="AL30" s="120"/>
      <c r="AM30" s="782"/>
      <c r="AN30" s="783"/>
      <c r="AO30" s="784"/>
      <c r="AP30" s="669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733"/>
    </row>
    <row r="31" spans="1:53" ht="36" customHeight="1">
      <c r="A31" s="665">
        <v>1</v>
      </c>
      <c r="B31" s="666"/>
      <c r="C31" s="673">
        <v>34</v>
      </c>
      <c r="D31" s="662"/>
      <c r="E31" s="662"/>
      <c r="F31" s="663"/>
      <c r="G31" s="661">
        <v>6</v>
      </c>
      <c r="H31" s="662"/>
      <c r="I31" s="663"/>
      <c r="J31" s="661">
        <v>2</v>
      </c>
      <c r="K31" s="662"/>
      <c r="L31" s="662"/>
      <c r="M31" s="663"/>
      <c r="N31" s="655"/>
      <c r="O31" s="656"/>
      <c r="P31" s="657"/>
      <c r="Q31" s="760"/>
      <c r="R31" s="761"/>
      <c r="S31" s="762"/>
      <c r="T31" s="661">
        <v>10</v>
      </c>
      <c r="U31" s="662"/>
      <c r="V31" s="663"/>
      <c r="W31" s="673">
        <f>SUM(C31:V31)</f>
        <v>52</v>
      </c>
      <c r="X31" s="662"/>
      <c r="Y31" s="663"/>
      <c r="Z31" s="118"/>
      <c r="AA31" s="667" t="s">
        <v>32</v>
      </c>
      <c r="AB31" s="668"/>
      <c r="AC31" s="668"/>
      <c r="AD31" s="668"/>
      <c r="AE31" s="668"/>
      <c r="AF31" s="659" t="s">
        <v>258</v>
      </c>
      <c r="AG31" s="660"/>
      <c r="AH31" s="660"/>
      <c r="AI31" s="659">
        <v>2</v>
      </c>
      <c r="AJ31" s="660"/>
      <c r="AK31" s="660"/>
      <c r="AL31" s="120"/>
      <c r="AM31" s="785"/>
      <c r="AN31" s="786"/>
      <c r="AO31" s="787"/>
      <c r="AP31" s="671"/>
      <c r="AQ31" s="672"/>
      <c r="AR31" s="672"/>
      <c r="AS31" s="672"/>
      <c r="AT31" s="672"/>
      <c r="AU31" s="672"/>
      <c r="AV31" s="672"/>
      <c r="AW31" s="672"/>
      <c r="AX31" s="670"/>
      <c r="AY31" s="670"/>
      <c r="AZ31" s="670"/>
      <c r="BA31" s="733"/>
    </row>
    <row r="32" spans="1:53" ht="30.75" customHeight="1">
      <c r="A32" s="665">
        <v>2</v>
      </c>
      <c r="B32" s="666"/>
      <c r="C32" s="652">
        <v>28</v>
      </c>
      <c r="D32" s="653"/>
      <c r="E32" s="653"/>
      <c r="F32" s="654"/>
      <c r="G32" s="652">
        <v>4</v>
      </c>
      <c r="H32" s="653"/>
      <c r="I32" s="654"/>
      <c r="J32" s="652">
        <v>3</v>
      </c>
      <c r="K32" s="653"/>
      <c r="L32" s="653"/>
      <c r="M32" s="654"/>
      <c r="N32" s="652">
        <v>4</v>
      </c>
      <c r="O32" s="653"/>
      <c r="P32" s="654"/>
      <c r="Q32" s="652">
        <v>1</v>
      </c>
      <c r="R32" s="653"/>
      <c r="S32" s="654"/>
      <c r="T32" s="658">
        <v>2</v>
      </c>
      <c r="U32" s="653"/>
      <c r="V32" s="654"/>
      <c r="W32" s="673">
        <f>SUM(C32:V32)</f>
        <v>42</v>
      </c>
      <c r="X32" s="662"/>
      <c r="Y32" s="663"/>
      <c r="Z32" s="118"/>
      <c r="AA32" s="667" t="s">
        <v>37</v>
      </c>
      <c r="AB32" s="668"/>
      <c r="AC32" s="668"/>
      <c r="AD32" s="668"/>
      <c r="AE32" s="668"/>
      <c r="AF32" s="659" t="s">
        <v>261</v>
      </c>
      <c r="AG32" s="660"/>
      <c r="AH32" s="660"/>
      <c r="AI32" s="659">
        <v>3</v>
      </c>
      <c r="AJ32" s="660"/>
      <c r="AK32" s="660"/>
      <c r="AL32" s="121"/>
      <c r="AM32" s="652">
        <v>1</v>
      </c>
      <c r="AN32" s="689"/>
      <c r="AO32" s="690"/>
      <c r="AP32" s="677" t="s">
        <v>312</v>
      </c>
      <c r="AQ32" s="677"/>
      <c r="AR32" s="677"/>
      <c r="AS32" s="677"/>
      <c r="AT32" s="677"/>
      <c r="AU32" s="677"/>
      <c r="AV32" s="677"/>
      <c r="AW32" s="677"/>
      <c r="AX32" s="679" t="s">
        <v>261</v>
      </c>
      <c r="AY32" s="680"/>
      <c r="AZ32" s="680"/>
      <c r="BA32" s="681"/>
    </row>
    <row r="33" spans="1:53" ht="48" customHeight="1">
      <c r="A33" s="673" t="s">
        <v>31</v>
      </c>
      <c r="B33" s="663"/>
      <c r="C33" s="673">
        <f>SUM(C31:F32)</f>
        <v>62</v>
      </c>
      <c r="D33" s="662"/>
      <c r="E33" s="662"/>
      <c r="F33" s="663"/>
      <c r="G33" s="674">
        <f>SUM(G31:I32)</f>
        <v>10</v>
      </c>
      <c r="H33" s="662"/>
      <c r="I33" s="663"/>
      <c r="J33" s="673">
        <f>SUM(J31:M32)</f>
        <v>5</v>
      </c>
      <c r="K33" s="662"/>
      <c r="L33" s="662"/>
      <c r="M33" s="663"/>
      <c r="N33" s="673">
        <f>SUM(N32)</f>
        <v>4</v>
      </c>
      <c r="O33" s="662"/>
      <c r="P33" s="663"/>
      <c r="Q33" s="673">
        <f>SUM(Q32)</f>
        <v>1</v>
      </c>
      <c r="R33" s="662"/>
      <c r="S33" s="663"/>
      <c r="T33" s="674">
        <f>SUM(T31:V32)</f>
        <v>12</v>
      </c>
      <c r="U33" s="662"/>
      <c r="V33" s="663"/>
      <c r="W33" s="674">
        <f>SUM(W31:Y32)</f>
        <v>94</v>
      </c>
      <c r="X33" s="662"/>
      <c r="Y33" s="663"/>
      <c r="Z33" s="118"/>
      <c r="AA33" s="667" t="s">
        <v>30</v>
      </c>
      <c r="AB33" s="668"/>
      <c r="AC33" s="668"/>
      <c r="AD33" s="668"/>
      <c r="AE33" s="668"/>
      <c r="AF33" s="659" t="s">
        <v>261</v>
      </c>
      <c r="AG33" s="660"/>
      <c r="AH33" s="660"/>
      <c r="AI33" s="659">
        <v>4</v>
      </c>
      <c r="AJ33" s="660"/>
      <c r="AK33" s="660"/>
      <c r="AL33" s="122"/>
      <c r="AM33" s="691"/>
      <c r="AN33" s="692"/>
      <c r="AO33" s="693"/>
      <c r="AP33" s="678"/>
      <c r="AQ33" s="678"/>
      <c r="AR33" s="678"/>
      <c r="AS33" s="678"/>
      <c r="AT33" s="678"/>
      <c r="AU33" s="678"/>
      <c r="AV33" s="678"/>
      <c r="AW33" s="678"/>
      <c r="AX33" s="682"/>
      <c r="AY33" s="683"/>
      <c r="AZ33" s="683"/>
      <c r="BA33" s="684"/>
    </row>
    <row r="34" spans="1:53" ht="19.5" customHeight="1">
      <c r="A34" s="698"/>
      <c r="B34" s="697"/>
      <c r="C34" s="699"/>
      <c r="D34" s="700"/>
      <c r="E34" s="700"/>
      <c r="F34" s="700"/>
      <c r="G34" s="698"/>
      <c r="H34" s="697"/>
      <c r="I34" s="697"/>
      <c r="J34" s="698"/>
      <c r="K34" s="697"/>
      <c r="L34" s="697"/>
      <c r="M34" s="697"/>
      <c r="N34" s="699"/>
      <c r="O34" s="700"/>
      <c r="P34" s="700"/>
      <c r="Q34" s="703"/>
      <c r="R34" s="704"/>
      <c r="S34" s="704"/>
      <c r="T34" s="696"/>
      <c r="U34" s="697"/>
      <c r="V34" s="697"/>
      <c r="W34" s="696"/>
      <c r="X34" s="697"/>
      <c r="Y34" s="697"/>
      <c r="Z34" s="118"/>
      <c r="AA34" s="694"/>
      <c r="AB34" s="695"/>
      <c r="AC34" s="695"/>
      <c r="AD34" s="695"/>
      <c r="AE34" s="695"/>
      <c r="AF34" s="695"/>
      <c r="AG34" s="695"/>
      <c r="AH34" s="695"/>
      <c r="AI34" s="695"/>
      <c r="AJ34" s="695"/>
      <c r="AK34" s="695"/>
      <c r="AL34" s="121"/>
      <c r="AM34" s="686"/>
      <c r="AN34" s="686"/>
      <c r="AO34" s="686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8"/>
    </row>
    <row r="35" spans="1:53" ht="21.75" customHeight="1">
      <c r="A35" s="705"/>
      <c r="B35" s="702"/>
      <c r="C35" s="699"/>
      <c r="D35" s="700"/>
      <c r="E35" s="700"/>
      <c r="F35" s="700"/>
      <c r="G35" s="698"/>
      <c r="H35" s="697"/>
      <c r="I35" s="697"/>
      <c r="J35" s="701"/>
      <c r="K35" s="702"/>
      <c r="L35" s="702"/>
      <c r="M35" s="702"/>
      <c r="N35" s="699"/>
      <c r="O35" s="700"/>
      <c r="P35" s="700"/>
      <c r="Q35" s="703"/>
      <c r="R35" s="704"/>
      <c r="S35" s="704"/>
      <c r="T35" s="698"/>
      <c r="U35" s="697"/>
      <c r="V35" s="697"/>
      <c r="W35" s="696"/>
      <c r="X35" s="697"/>
      <c r="Y35" s="697"/>
      <c r="Z35" s="118"/>
      <c r="AA35" s="695"/>
      <c r="AB35" s="695"/>
      <c r="AC35" s="695"/>
      <c r="AD35" s="695"/>
      <c r="AE35" s="695"/>
      <c r="AF35" s="695"/>
      <c r="AG35" s="695"/>
      <c r="AH35" s="695"/>
      <c r="AI35" s="695"/>
      <c r="AJ35" s="695"/>
      <c r="AK35" s="695"/>
      <c r="AL35" s="121"/>
      <c r="AM35" s="685"/>
      <c r="AN35" s="685"/>
      <c r="AO35" s="685"/>
      <c r="AP35" s="675"/>
      <c r="AQ35" s="675"/>
      <c r="AR35" s="675"/>
      <c r="AS35" s="675"/>
      <c r="AT35" s="675"/>
      <c r="AU35" s="675"/>
      <c r="AV35" s="675"/>
      <c r="AW35" s="675"/>
      <c r="AX35" s="675"/>
      <c r="AY35" s="675"/>
      <c r="AZ35" s="675"/>
      <c r="BA35" s="676"/>
    </row>
  </sheetData>
  <sheetProtection selectLockedCells="1" selectUnlockedCells="1"/>
  <mergeCells count="116">
    <mergeCell ref="AN4:BA5"/>
    <mergeCell ref="AN6:BA6"/>
    <mergeCell ref="A9:O9"/>
    <mergeCell ref="AM28:AO31"/>
    <mergeCell ref="AW20:BA20"/>
    <mergeCell ref="AS20:AV20"/>
    <mergeCell ref="J31:M31"/>
    <mergeCell ref="P13:AJ13"/>
    <mergeCell ref="P11:AA11"/>
    <mergeCell ref="P17:AM17"/>
    <mergeCell ref="P15:AM15"/>
    <mergeCell ref="AN12:BD13"/>
    <mergeCell ref="A2:O2"/>
    <mergeCell ref="A8:O8"/>
    <mergeCell ref="A10:O10"/>
    <mergeCell ref="P2:AN2"/>
    <mergeCell ref="AN7:BA9"/>
    <mergeCell ref="AN10:BD11"/>
    <mergeCell ref="A6:O6"/>
    <mergeCell ref="A5:O5"/>
    <mergeCell ref="A4:O4"/>
    <mergeCell ref="AO20:AR20"/>
    <mergeCell ref="Q31:S31"/>
    <mergeCell ref="AI31:AK31"/>
    <mergeCell ref="AF20:AI20"/>
    <mergeCell ref="S20:W20"/>
    <mergeCell ref="AJ20:AN20"/>
    <mergeCell ref="A19:BA19"/>
    <mergeCell ref="AN18:BD18"/>
    <mergeCell ref="AN14:BD15"/>
    <mergeCell ref="A3:O3"/>
    <mergeCell ref="B20:E20"/>
    <mergeCell ref="N20:R20"/>
    <mergeCell ref="F20:I20"/>
    <mergeCell ref="P10:AM10"/>
    <mergeCell ref="P14:AL14"/>
    <mergeCell ref="P16:AM16"/>
    <mergeCell ref="P4:AM4"/>
    <mergeCell ref="X20:AA20"/>
    <mergeCell ref="P12:AK12"/>
    <mergeCell ref="AS23:BA23"/>
    <mergeCell ref="AX28:BA31"/>
    <mergeCell ref="G28:I30"/>
    <mergeCell ref="A27:BA27"/>
    <mergeCell ref="AI28:AK30"/>
    <mergeCell ref="C31:F31"/>
    <mergeCell ref="W31:Y31"/>
    <mergeCell ref="T31:V31"/>
    <mergeCell ref="J28:M30"/>
    <mergeCell ref="N28:P30"/>
    <mergeCell ref="G34:I34"/>
    <mergeCell ref="C34:F34"/>
    <mergeCell ref="G35:I35"/>
    <mergeCell ref="AN16:BD17"/>
    <mergeCell ref="A20:A21"/>
    <mergeCell ref="AB20:AE20"/>
    <mergeCell ref="A28:B30"/>
    <mergeCell ref="T28:V30"/>
    <mergeCell ref="J20:M20"/>
    <mergeCell ref="Q28:S30"/>
    <mergeCell ref="N35:P35"/>
    <mergeCell ref="T35:V35"/>
    <mergeCell ref="T34:V34"/>
    <mergeCell ref="Q34:S34"/>
    <mergeCell ref="A35:B35"/>
    <mergeCell ref="C33:F33"/>
    <mergeCell ref="G33:I33"/>
    <mergeCell ref="A34:B34"/>
    <mergeCell ref="A33:B33"/>
    <mergeCell ref="C35:F35"/>
    <mergeCell ref="AA34:AK35"/>
    <mergeCell ref="W34:Y34"/>
    <mergeCell ref="AF33:AH33"/>
    <mergeCell ref="W33:Y33"/>
    <mergeCell ref="AA33:AE33"/>
    <mergeCell ref="J34:M34"/>
    <mergeCell ref="W35:Y35"/>
    <mergeCell ref="N34:P34"/>
    <mergeCell ref="J35:M35"/>
    <mergeCell ref="Q35:S35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AM32:AO33"/>
    <mergeCell ref="Q33:S33"/>
    <mergeCell ref="AI32:AK32"/>
    <mergeCell ref="J33:M33"/>
    <mergeCell ref="N33:P33"/>
    <mergeCell ref="T33:V33"/>
    <mergeCell ref="AI33:AK33"/>
    <mergeCell ref="AA32:AE32"/>
    <mergeCell ref="W32:Y32"/>
    <mergeCell ref="Q32:S32"/>
    <mergeCell ref="N32:P32"/>
    <mergeCell ref="A25:AY25"/>
    <mergeCell ref="A31:B31"/>
    <mergeCell ref="A32:B32"/>
    <mergeCell ref="C32:F32"/>
    <mergeCell ref="AA31:AE31"/>
    <mergeCell ref="AP28:AW31"/>
    <mergeCell ref="AF28:AH30"/>
    <mergeCell ref="C28:F30"/>
    <mergeCell ref="AA28:AE30"/>
    <mergeCell ref="W28:Y30"/>
    <mergeCell ref="G32:I32"/>
    <mergeCell ref="N31:P31"/>
    <mergeCell ref="T32:V32"/>
    <mergeCell ref="J32:M32"/>
    <mergeCell ref="AF31:AH31"/>
    <mergeCell ref="G31:I31"/>
    <mergeCell ref="AF32:AH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6"/>
  <sheetViews>
    <sheetView view="pageBreakPreview" zoomScale="115" zoomScaleNormal="70" zoomScaleSheetLayoutView="115" zoomScalePageLayoutView="0" workbookViewId="0" topLeftCell="A25">
      <selection activeCell="G42" sqref="G42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6.875" style="2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48" width="9.125" style="2" customWidth="1"/>
    <col min="49" max="49" width="9.125" style="192" customWidth="1"/>
    <col min="50" max="51" width="9.125" style="537" customWidth="1"/>
    <col min="52" max="52" width="9.125" style="192" customWidth="1"/>
    <col min="53" max="16384" width="9.125" style="2" customWidth="1"/>
  </cols>
  <sheetData>
    <row r="1" spans="1:52" s="3" customFormat="1" ht="18.75" customHeight="1" thickBot="1">
      <c r="A1" s="858" t="s">
        <v>389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W1" s="532"/>
      <c r="AX1" s="535"/>
      <c r="AY1" s="535"/>
      <c r="AZ1" s="532"/>
    </row>
    <row r="2" spans="1:52" s="143" customFormat="1" ht="27.75" customHeight="1">
      <c r="A2" s="871" t="s">
        <v>3</v>
      </c>
      <c r="B2" s="873" t="s">
        <v>109</v>
      </c>
      <c r="C2" s="841" t="s">
        <v>257</v>
      </c>
      <c r="D2" s="842"/>
      <c r="E2" s="843"/>
      <c r="F2" s="844"/>
      <c r="G2" s="856" t="s">
        <v>110</v>
      </c>
      <c r="H2" s="853" t="s">
        <v>111</v>
      </c>
      <c r="I2" s="854"/>
      <c r="J2" s="854"/>
      <c r="K2" s="854"/>
      <c r="L2" s="854"/>
      <c r="M2" s="855"/>
      <c r="N2" s="853" t="s">
        <v>256</v>
      </c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66"/>
      <c r="AC2" s="142"/>
      <c r="AW2" s="351"/>
      <c r="AX2" s="536"/>
      <c r="AY2" s="536"/>
      <c r="AZ2" s="351"/>
    </row>
    <row r="3" spans="1:52" s="143" customFormat="1" ht="12.75" customHeight="1">
      <c r="A3" s="872"/>
      <c r="B3" s="874"/>
      <c r="C3" s="845"/>
      <c r="D3" s="846"/>
      <c r="E3" s="847"/>
      <c r="F3" s="848"/>
      <c r="G3" s="857"/>
      <c r="H3" s="837" t="s">
        <v>112</v>
      </c>
      <c r="I3" s="894" t="s">
        <v>113</v>
      </c>
      <c r="J3" s="895"/>
      <c r="K3" s="895"/>
      <c r="L3" s="896"/>
      <c r="M3" s="859" t="s">
        <v>114</v>
      </c>
      <c r="N3" s="860" t="s">
        <v>254</v>
      </c>
      <c r="O3" s="861"/>
      <c r="P3" s="862"/>
      <c r="Q3" s="867" t="s">
        <v>255</v>
      </c>
      <c r="R3" s="861"/>
      <c r="S3" s="862"/>
      <c r="T3" s="867" t="s">
        <v>107</v>
      </c>
      <c r="U3" s="861"/>
      <c r="V3" s="862"/>
      <c r="W3" s="867" t="s">
        <v>107</v>
      </c>
      <c r="X3" s="861"/>
      <c r="Y3" s="862"/>
      <c r="Z3" s="867" t="s">
        <v>108</v>
      </c>
      <c r="AA3" s="861"/>
      <c r="AB3" s="868"/>
      <c r="AW3" s="351"/>
      <c r="AX3" s="536"/>
      <c r="AY3" s="536"/>
      <c r="AZ3" s="351"/>
    </row>
    <row r="4" spans="1:52" s="143" customFormat="1" ht="18.75" customHeight="1">
      <c r="A4" s="872"/>
      <c r="B4" s="874"/>
      <c r="C4" s="849" t="s">
        <v>115</v>
      </c>
      <c r="D4" s="849" t="s">
        <v>116</v>
      </c>
      <c r="E4" s="835" t="s">
        <v>117</v>
      </c>
      <c r="F4" s="836"/>
      <c r="G4" s="857"/>
      <c r="H4" s="837"/>
      <c r="I4" s="849" t="s">
        <v>118</v>
      </c>
      <c r="J4" s="900" t="s">
        <v>119</v>
      </c>
      <c r="K4" s="901"/>
      <c r="L4" s="902"/>
      <c r="M4" s="859"/>
      <c r="N4" s="863"/>
      <c r="O4" s="864"/>
      <c r="P4" s="865"/>
      <c r="Q4" s="869"/>
      <c r="R4" s="864"/>
      <c r="S4" s="865"/>
      <c r="T4" s="869"/>
      <c r="U4" s="864"/>
      <c r="V4" s="865"/>
      <c r="W4" s="869"/>
      <c r="X4" s="864"/>
      <c r="Y4" s="865"/>
      <c r="Z4" s="869"/>
      <c r="AA4" s="864"/>
      <c r="AB4" s="870"/>
      <c r="AW4" s="351"/>
      <c r="AX4" s="536"/>
      <c r="AY4" s="536"/>
      <c r="AZ4" s="351"/>
    </row>
    <row r="5" spans="1:52" s="143" customFormat="1" ht="15.75">
      <c r="A5" s="872"/>
      <c r="B5" s="874"/>
      <c r="C5" s="849"/>
      <c r="D5" s="849"/>
      <c r="E5" s="850" t="s">
        <v>120</v>
      </c>
      <c r="F5" s="897" t="s">
        <v>121</v>
      </c>
      <c r="G5" s="857"/>
      <c r="H5" s="837"/>
      <c r="I5" s="849"/>
      <c r="J5" s="850" t="s">
        <v>122</v>
      </c>
      <c r="K5" s="850" t="s">
        <v>123</v>
      </c>
      <c r="L5" s="850" t="s">
        <v>124</v>
      </c>
      <c r="M5" s="859"/>
      <c r="N5" s="145">
        <v>1</v>
      </c>
      <c r="O5" s="146" t="s">
        <v>258</v>
      </c>
      <c r="P5" s="146" t="s">
        <v>259</v>
      </c>
      <c r="Q5" s="146">
        <v>3</v>
      </c>
      <c r="R5" s="146" t="s">
        <v>260</v>
      </c>
      <c r="S5" s="146" t="s">
        <v>261</v>
      </c>
      <c r="T5" s="146">
        <v>5</v>
      </c>
      <c r="U5" s="146" t="s">
        <v>349</v>
      </c>
      <c r="V5" s="146" t="s">
        <v>350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W5" s="351"/>
      <c r="AX5" s="536"/>
      <c r="AY5" s="536"/>
      <c r="AZ5" s="351"/>
    </row>
    <row r="6" spans="1:52" s="143" customFormat="1" ht="21" customHeight="1" thickBot="1">
      <c r="A6" s="872"/>
      <c r="B6" s="874"/>
      <c r="C6" s="849"/>
      <c r="D6" s="849"/>
      <c r="E6" s="851"/>
      <c r="F6" s="898"/>
      <c r="G6" s="857"/>
      <c r="H6" s="837"/>
      <c r="I6" s="849"/>
      <c r="J6" s="851"/>
      <c r="K6" s="851"/>
      <c r="L6" s="851"/>
      <c r="M6" s="859"/>
      <c r="N6" s="891" t="s">
        <v>125</v>
      </c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3"/>
      <c r="AW6" s="860" t="s">
        <v>254</v>
      </c>
      <c r="AX6" s="861"/>
      <c r="AY6" s="862"/>
      <c r="AZ6" s="351"/>
    </row>
    <row r="7" spans="1:52" s="143" customFormat="1" ht="30.75" customHeight="1" thickBot="1">
      <c r="A7" s="872"/>
      <c r="B7" s="875"/>
      <c r="C7" s="849"/>
      <c r="D7" s="849"/>
      <c r="E7" s="852"/>
      <c r="F7" s="899"/>
      <c r="G7" s="857"/>
      <c r="H7" s="837"/>
      <c r="I7" s="849"/>
      <c r="J7" s="852"/>
      <c r="K7" s="852"/>
      <c r="L7" s="852"/>
      <c r="M7" s="85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  <c r="AW7" s="863"/>
      <c r="AX7" s="864"/>
      <c r="AY7" s="865"/>
      <c r="AZ7" s="351" t="s">
        <v>336</v>
      </c>
    </row>
    <row r="8" spans="1:52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  <c r="AW8" s="145">
        <v>1</v>
      </c>
      <c r="AX8" s="469" t="s">
        <v>258</v>
      </c>
      <c r="AY8" s="511" t="s">
        <v>259</v>
      </c>
      <c r="AZ8" s="351"/>
    </row>
    <row r="9" spans="1:52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9"/>
      <c r="AN9" s="351"/>
      <c r="AO9" s="510">
        <v>1</v>
      </c>
      <c r="AP9" s="510" t="s">
        <v>258</v>
      </c>
      <c r="AQ9" s="510" t="s">
        <v>259</v>
      </c>
      <c r="AR9" s="510">
        <v>3</v>
      </c>
      <c r="AS9" s="510" t="s">
        <v>260</v>
      </c>
      <c r="AT9" s="510" t="s">
        <v>261</v>
      </c>
      <c r="AW9" s="351"/>
      <c r="AX9" s="536"/>
      <c r="AY9" s="536"/>
      <c r="AZ9" s="351"/>
    </row>
    <row r="10" spans="1:52" s="143" customFormat="1" ht="18" customHeight="1" thickBot="1">
      <c r="A10" s="840" t="s">
        <v>274</v>
      </c>
      <c r="B10" s="802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0"/>
      <c r="O10" s="800"/>
      <c r="P10" s="800"/>
      <c r="Q10" s="800"/>
      <c r="R10" s="800"/>
      <c r="S10" s="800"/>
      <c r="T10" s="802"/>
      <c r="U10" s="802"/>
      <c r="V10" s="802"/>
      <c r="W10" s="802"/>
      <c r="X10" s="802"/>
      <c r="Y10" s="802"/>
      <c r="Z10" s="802"/>
      <c r="AA10" s="802"/>
      <c r="AB10" s="803"/>
      <c r="AN10" s="351" t="s">
        <v>265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  <c r="AW10" s="351"/>
      <c r="AX10" s="536"/>
      <c r="AY10" s="536"/>
      <c r="AZ10" s="351"/>
    </row>
    <row r="11" spans="1:51" ht="15" customHeight="1">
      <c r="A11" s="182" t="s">
        <v>126</v>
      </c>
      <c r="B11" s="159" t="s">
        <v>230</v>
      </c>
      <c r="C11" s="5"/>
      <c r="D11" s="481"/>
      <c r="E11" s="481"/>
      <c r="F11" s="482"/>
      <c r="G11" s="187">
        <f>G12+G13</f>
        <v>8</v>
      </c>
      <c r="H11" s="483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221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266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  <c r="AW11" s="192">
        <f>IF(ISBLANK(N11)=FALSE,"так","")</f>
      </c>
      <c r="AX11" s="192">
        <f>IF(ISBLANK(O11)=FALSE,"так","")</f>
      </c>
      <c r="AY11" s="537">
        <f>IF(ISBLANK(P11)=FALSE,"так","")</f>
      </c>
    </row>
    <row r="12" spans="1:51" ht="15" customHeight="1">
      <c r="A12" s="484"/>
      <c r="B12" s="385" t="s">
        <v>294</v>
      </c>
      <c r="C12" s="485"/>
      <c r="D12" s="486"/>
      <c r="E12" s="232"/>
      <c r="F12" s="487"/>
      <c r="G12" s="488">
        <v>5</v>
      </c>
      <c r="H12" s="8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267</v>
      </c>
      <c r="AO12" s="192"/>
      <c r="AP12" s="192"/>
      <c r="AQ12" s="192"/>
      <c r="AR12" s="192"/>
      <c r="AS12" s="192"/>
      <c r="AT12" s="192"/>
      <c r="AW12" s="192">
        <f aca="true" t="shared" si="1" ref="AW12:AY60">IF(ISBLANK(N12)=FALSE,"так","")</f>
      </c>
      <c r="AX12" s="192">
        <f t="shared" si="1"/>
      </c>
      <c r="AY12" s="537">
        <f t="shared" si="1"/>
      </c>
    </row>
    <row r="13" spans="1:50" ht="15" customHeight="1">
      <c r="A13" s="484"/>
      <c r="B13" s="386" t="s">
        <v>34</v>
      </c>
      <c r="C13" s="5"/>
      <c r="D13" s="189" t="s">
        <v>350</v>
      </c>
      <c r="E13" s="481"/>
      <c r="F13" s="482"/>
      <c r="G13" s="187">
        <v>3</v>
      </c>
      <c r="H13" s="81">
        <f aca="true" t="shared" si="2" ref="H13:H55">G13*30</f>
        <v>90</v>
      </c>
      <c r="I13" s="4">
        <f>SUMPRODUCT(N13:V13,$N$7:$V$7)</f>
        <v>34</v>
      </c>
      <c r="J13" s="5"/>
      <c r="K13" s="5"/>
      <c r="L13" s="5">
        <v>34</v>
      </c>
      <c r="M13" s="52">
        <f>H13-L13</f>
        <v>56</v>
      </c>
      <c r="N13" s="489"/>
      <c r="O13" s="485"/>
      <c r="P13" s="490"/>
      <c r="Q13" s="491"/>
      <c r="R13" s="485"/>
      <c r="S13" s="29"/>
      <c r="T13" s="491"/>
      <c r="U13" s="485">
        <v>2</v>
      </c>
      <c r="V13" s="29">
        <v>2</v>
      </c>
      <c r="W13" s="28"/>
      <c r="X13" s="65"/>
      <c r="Y13" s="7"/>
      <c r="Z13" s="18"/>
      <c r="AA13" s="28"/>
      <c r="AB13" s="7"/>
      <c r="AC13" s="29"/>
      <c r="AX13" s="192"/>
    </row>
    <row r="14" spans="1:51" ht="15" customHeight="1">
      <c r="A14" s="177" t="s">
        <v>127</v>
      </c>
      <c r="B14" s="160" t="s">
        <v>292</v>
      </c>
      <c r="C14" s="4" t="s">
        <v>99</v>
      </c>
      <c r="D14" s="492"/>
      <c r="E14" s="492"/>
      <c r="F14" s="493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  <c r="AW14" s="192">
        <f t="shared" si="1"/>
      </c>
      <c r="AX14" s="192">
        <f t="shared" si="1"/>
      </c>
      <c r="AY14" s="537">
        <f t="shared" si="1"/>
      </c>
    </row>
    <row r="15" spans="1:52" ht="15" customHeight="1">
      <c r="A15" s="177" t="s">
        <v>128</v>
      </c>
      <c r="B15" s="55" t="s">
        <v>101</v>
      </c>
      <c r="C15" s="4"/>
      <c r="D15" s="494"/>
      <c r="E15" s="494"/>
      <c r="F15" s="493"/>
      <c r="G15" s="488">
        <v>3</v>
      </c>
      <c r="H15" s="81">
        <f t="shared" si="2"/>
        <v>90</v>
      </c>
      <c r="I15" s="58"/>
      <c r="J15" s="128"/>
      <c r="K15" s="128"/>
      <c r="L15" s="128"/>
      <c r="M15" s="495"/>
      <c r="N15" s="496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  <c r="AW15" s="192">
        <f t="shared" si="1"/>
      </c>
      <c r="AX15" s="192" t="s">
        <v>335</v>
      </c>
      <c r="AY15" s="537">
        <f t="shared" si="1"/>
      </c>
      <c r="AZ15" s="192" t="s">
        <v>337</v>
      </c>
    </row>
    <row r="16" spans="1:51" ht="15" customHeight="1">
      <c r="A16" s="4"/>
      <c r="B16" s="160" t="s">
        <v>294</v>
      </c>
      <c r="C16" s="12"/>
      <c r="D16" s="497"/>
      <c r="E16" s="497"/>
      <c r="F16" s="389"/>
      <c r="G16" s="60">
        <v>2</v>
      </c>
      <c r="H16" s="81">
        <f t="shared" si="2"/>
        <v>60</v>
      </c>
      <c r="I16" s="58"/>
      <c r="J16" s="131"/>
      <c r="K16" s="131"/>
      <c r="L16" s="131"/>
      <c r="M16" s="498"/>
      <c r="N16" s="496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  <c r="AW16" s="192">
        <f t="shared" si="1"/>
      </c>
      <c r="AX16" s="192">
        <f t="shared" si="1"/>
      </c>
      <c r="AY16" s="537">
        <f t="shared" si="1"/>
      </c>
    </row>
    <row r="17" spans="1:52" ht="15" customHeight="1">
      <c r="A17" s="177"/>
      <c r="B17" s="160" t="s">
        <v>34</v>
      </c>
      <c r="C17" s="58"/>
      <c r="D17" s="189" t="s">
        <v>258</v>
      </c>
      <c r="E17" s="499"/>
      <c r="F17" s="500"/>
      <c r="G17" s="488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01">
        <f>H17-I17</f>
        <v>20</v>
      </c>
      <c r="N17" s="502"/>
      <c r="O17" s="503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  <c r="AW17" s="192">
        <f t="shared" si="1"/>
      </c>
      <c r="AX17" s="192" t="str">
        <f t="shared" si="1"/>
        <v>так</v>
      </c>
      <c r="AY17" s="537">
        <f t="shared" si="1"/>
      </c>
      <c r="AZ17" s="192" t="s">
        <v>337</v>
      </c>
    </row>
    <row r="18" spans="1:51" ht="15" customHeight="1">
      <c r="A18" s="177" t="s">
        <v>132</v>
      </c>
      <c r="B18" s="160" t="s">
        <v>293</v>
      </c>
      <c r="C18" s="4" t="s">
        <v>99</v>
      </c>
      <c r="D18" s="492"/>
      <c r="E18" s="492"/>
      <c r="F18" s="488"/>
      <c r="G18" s="390">
        <v>3</v>
      </c>
      <c r="H18" s="81">
        <f t="shared" si="2"/>
        <v>90</v>
      </c>
      <c r="I18" s="58"/>
      <c r="J18" s="58"/>
      <c r="K18" s="58"/>
      <c r="L18" s="58"/>
      <c r="M18" s="135"/>
      <c r="N18" s="504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  <c r="AW18" s="192">
        <f t="shared" si="1"/>
      </c>
      <c r="AX18" s="192">
        <f t="shared" si="1"/>
      </c>
      <c r="AY18" s="537">
        <f t="shared" si="1"/>
      </c>
    </row>
    <row r="19" spans="1:52" ht="15" customHeight="1">
      <c r="A19" s="177" t="s">
        <v>133</v>
      </c>
      <c r="B19" s="55" t="s">
        <v>103</v>
      </c>
      <c r="C19" s="492"/>
      <c r="D19" s="505"/>
      <c r="E19" s="505"/>
      <c r="F19" s="60"/>
      <c r="G19" s="488">
        <f>G20+G21</f>
        <v>4</v>
      </c>
      <c r="H19" s="81">
        <f t="shared" si="2"/>
        <v>120</v>
      </c>
      <c r="I19" s="58"/>
      <c r="J19" s="128"/>
      <c r="K19" s="128"/>
      <c r="L19" s="128"/>
      <c r="M19" s="495"/>
      <c r="N19" s="496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  <c r="AW19" s="192" t="s">
        <v>335</v>
      </c>
      <c r="AX19" s="192">
        <f t="shared" si="1"/>
      </c>
      <c r="AY19" s="537">
        <f t="shared" si="1"/>
      </c>
      <c r="AZ19" s="192" t="s">
        <v>337</v>
      </c>
    </row>
    <row r="20" spans="1:51" ht="15" customHeight="1">
      <c r="A20" s="174"/>
      <c r="B20" s="160" t="s">
        <v>294</v>
      </c>
      <c r="C20" s="492"/>
      <c r="D20" s="505"/>
      <c r="E20" s="505"/>
      <c r="F20" s="390"/>
      <c r="G20" s="488">
        <v>3</v>
      </c>
      <c r="H20" s="81">
        <f t="shared" si="2"/>
        <v>90</v>
      </c>
      <c r="I20" s="58"/>
      <c r="J20" s="128"/>
      <c r="K20" s="128"/>
      <c r="L20" s="128"/>
      <c r="M20" s="495"/>
      <c r="N20" s="506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  <c r="AW20" s="192">
        <f t="shared" si="1"/>
      </c>
      <c r="AX20" s="192">
        <f t="shared" si="1"/>
      </c>
      <c r="AY20" s="537">
        <f t="shared" si="1"/>
      </c>
    </row>
    <row r="21" spans="1:52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07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  <c r="AW21" s="192" t="str">
        <f t="shared" si="1"/>
        <v>так</v>
      </c>
      <c r="AX21" s="192">
        <f t="shared" si="1"/>
      </c>
      <c r="AY21" s="537">
        <f t="shared" si="1"/>
      </c>
      <c r="AZ21" s="192" t="s">
        <v>337</v>
      </c>
    </row>
    <row r="22" spans="1:51" ht="15" customHeight="1" hidden="1">
      <c r="A22" s="174" t="s">
        <v>135</v>
      </c>
      <c r="B22" s="387"/>
      <c r="C22" s="81"/>
      <c r="D22" s="5"/>
      <c r="E22" s="5"/>
      <c r="F22" s="52"/>
      <c r="G22" s="545"/>
      <c r="H22" s="81"/>
      <c r="I22" s="5"/>
      <c r="J22" s="5"/>
      <c r="K22" s="5"/>
      <c r="L22" s="5"/>
      <c r="M22" s="79"/>
      <c r="N22" s="508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  <c r="AW22" s="192">
        <f t="shared" si="1"/>
      </c>
      <c r="AX22" s="192">
        <f t="shared" si="1"/>
      </c>
      <c r="AY22" s="537">
        <f t="shared" si="1"/>
      </c>
    </row>
    <row r="23" spans="1:51" ht="15" customHeight="1" hidden="1">
      <c r="A23" s="174"/>
      <c r="B23" s="387"/>
      <c r="C23" s="81"/>
      <c r="D23" s="5"/>
      <c r="E23" s="5"/>
      <c r="F23" s="52"/>
      <c r="G23" s="545"/>
      <c r="H23" s="81"/>
      <c r="I23" s="5"/>
      <c r="J23" s="5"/>
      <c r="K23" s="5"/>
      <c r="L23" s="5"/>
      <c r="M23" s="79"/>
      <c r="N23" s="508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  <c r="AW23" s="192">
        <f t="shared" si="1"/>
      </c>
      <c r="AX23" s="192">
        <f t="shared" si="1"/>
      </c>
      <c r="AY23" s="537">
        <f t="shared" si="1"/>
      </c>
    </row>
    <row r="24" spans="1:51" ht="15" customHeight="1" hidden="1">
      <c r="A24" s="174"/>
      <c r="B24" s="387"/>
      <c r="C24" s="81"/>
      <c r="D24" s="5"/>
      <c r="E24" s="5"/>
      <c r="F24" s="52"/>
      <c r="G24" s="545"/>
      <c r="H24" s="81"/>
      <c r="I24" s="5"/>
      <c r="J24" s="5"/>
      <c r="K24" s="5"/>
      <c r="L24" s="5"/>
      <c r="M24" s="79"/>
      <c r="N24" s="508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  <c r="AW24" s="192">
        <f t="shared" si="1"/>
      </c>
      <c r="AX24" s="192">
        <f t="shared" si="1"/>
      </c>
      <c r="AY24" s="537">
        <f t="shared" si="1"/>
      </c>
    </row>
    <row r="25" spans="1:52" ht="15.75" customHeight="1">
      <c r="A25" s="183" t="s">
        <v>275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  <c r="AW25" s="192" t="s">
        <v>335</v>
      </c>
      <c r="AX25" s="192">
        <f t="shared" si="1"/>
      </c>
      <c r="AY25" s="537">
        <f t="shared" si="1"/>
      </c>
      <c r="AZ25" s="192" t="s">
        <v>337</v>
      </c>
    </row>
    <row r="26" spans="1:51" ht="15.75" customHeight="1">
      <c r="A26" s="31"/>
      <c r="B26" s="160" t="s">
        <v>294</v>
      </c>
      <c r="C26" s="11"/>
      <c r="D26" s="9"/>
      <c r="E26" s="9"/>
      <c r="F26" s="9"/>
      <c r="G26" s="5">
        <v>0.5</v>
      </c>
      <c r="H26" s="81">
        <f t="shared" si="2"/>
        <v>15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  <c r="AW26" s="192">
        <f t="shared" si="1"/>
      </c>
      <c r="AX26" s="192">
        <f t="shared" si="1"/>
      </c>
      <c r="AY26" s="537">
        <f t="shared" si="1"/>
      </c>
    </row>
    <row r="27" spans="1:52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5</v>
      </c>
      <c r="H27" s="81">
        <f t="shared" si="2"/>
        <v>150</v>
      </c>
      <c r="I27" s="4">
        <f>SUMPRODUCT(N27:V27,$N$7:$V$7)</f>
        <v>45</v>
      </c>
      <c r="J27" s="10">
        <v>30</v>
      </c>
      <c r="K27" s="11"/>
      <c r="L27" s="10">
        <v>15</v>
      </c>
      <c r="M27" s="27">
        <f>H27-I27</f>
        <v>105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  <c r="AW27" s="192" t="str">
        <f t="shared" si="1"/>
        <v>так</v>
      </c>
      <c r="AX27" s="192">
        <f t="shared" si="1"/>
      </c>
      <c r="AY27" s="537">
        <f t="shared" si="1"/>
      </c>
      <c r="AZ27" s="192" t="s">
        <v>337</v>
      </c>
    </row>
    <row r="28" spans="1:52" ht="15.75" customHeight="1" hidden="1">
      <c r="A28" s="50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18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10">
        <v>1</v>
      </c>
      <c r="AP28" s="510" t="s">
        <v>258</v>
      </c>
      <c r="AQ28" s="510" t="s">
        <v>259</v>
      </c>
      <c r="AR28" s="510">
        <v>3</v>
      </c>
      <c r="AS28" s="510" t="s">
        <v>260</v>
      </c>
      <c r="AT28" s="510" t="s">
        <v>261</v>
      </c>
      <c r="AW28" s="192">
        <f t="shared" si="1"/>
      </c>
      <c r="AX28" s="192">
        <f t="shared" si="1"/>
      </c>
      <c r="AY28" s="537">
        <f t="shared" si="1"/>
      </c>
      <c r="AZ28" s="192" t="s">
        <v>337</v>
      </c>
    </row>
    <row r="29" spans="1:52" ht="15.75" customHeight="1">
      <c r="A29" s="186" t="s">
        <v>276</v>
      </c>
      <c r="B29" s="638" t="s">
        <v>298</v>
      </c>
      <c r="C29" s="500"/>
      <c r="D29" s="510"/>
      <c r="E29" s="510"/>
      <c r="F29" s="510"/>
      <c r="G29" s="78">
        <f>SUM(G30:G31)</f>
        <v>2</v>
      </c>
      <c r="H29" s="81">
        <f t="shared" si="2"/>
        <v>60</v>
      </c>
      <c r="I29" s="510"/>
      <c r="J29" s="510"/>
      <c r="K29" s="510"/>
      <c r="L29" s="510"/>
      <c r="M29" s="511"/>
      <c r="N29" s="512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265</v>
      </c>
      <c r="AO29" s="351">
        <f aca="true" t="shared" si="3" ref="AO29:AT29">COUNTIF($C25:$C58,AO28)</f>
        <v>2</v>
      </c>
      <c r="AP29" s="351">
        <f t="shared" si="3"/>
        <v>2</v>
      </c>
      <c r="AQ29" s="351">
        <f t="shared" si="3"/>
        <v>0</v>
      </c>
      <c r="AR29" s="351">
        <f t="shared" si="3"/>
        <v>0</v>
      </c>
      <c r="AS29" s="351">
        <f t="shared" si="3"/>
        <v>0</v>
      </c>
      <c r="AT29" s="351">
        <f t="shared" si="3"/>
        <v>0</v>
      </c>
      <c r="AW29" s="192" t="s">
        <v>335</v>
      </c>
      <c r="AX29" s="192">
        <f t="shared" si="1"/>
      </c>
      <c r="AY29" s="537">
        <f t="shared" si="1"/>
      </c>
      <c r="AZ29" s="192" t="s">
        <v>337</v>
      </c>
    </row>
    <row r="30" spans="1:51" ht="15.75" customHeight="1">
      <c r="A30" s="4"/>
      <c r="B30" s="263" t="s">
        <v>294</v>
      </c>
      <c r="C30" s="500"/>
      <c r="D30" s="510"/>
      <c r="E30" s="510"/>
      <c r="F30" s="510"/>
      <c r="G30" s="595">
        <v>0.5</v>
      </c>
      <c r="H30" s="81">
        <f t="shared" si="2"/>
        <v>15</v>
      </c>
      <c r="I30" s="510"/>
      <c r="J30" s="510"/>
      <c r="K30" s="510"/>
      <c r="L30" s="510"/>
      <c r="M30" s="511"/>
      <c r="N30" s="512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38</v>
      </c>
      <c r="AN30" s="192" t="s">
        <v>266</v>
      </c>
      <c r="AO30" s="351">
        <f aca="true" t="shared" si="4" ref="AO30:AT30">COUNTIF($D25:$D58,AO28)</f>
        <v>3</v>
      </c>
      <c r="AP30" s="351">
        <f t="shared" si="4"/>
        <v>1</v>
      </c>
      <c r="AQ30" s="351">
        <f t="shared" si="4"/>
        <v>1</v>
      </c>
      <c r="AR30" s="351">
        <f t="shared" si="4"/>
        <v>0</v>
      </c>
      <c r="AS30" s="351">
        <f t="shared" si="4"/>
        <v>0</v>
      </c>
      <c r="AT30" s="351">
        <f t="shared" si="4"/>
        <v>0</v>
      </c>
      <c r="AW30" s="192">
        <f t="shared" si="1"/>
      </c>
      <c r="AX30" s="192">
        <f t="shared" si="1"/>
      </c>
      <c r="AY30" s="537">
        <f t="shared" si="1"/>
      </c>
    </row>
    <row r="31" spans="1:52" ht="15.75" customHeight="1">
      <c r="A31" s="513"/>
      <c r="B31" s="263" t="s">
        <v>34</v>
      </c>
      <c r="C31" s="500"/>
      <c r="D31" s="510">
        <v>1</v>
      </c>
      <c r="E31" s="510"/>
      <c r="F31" s="510"/>
      <c r="G31" s="595">
        <v>1.5</v>
      </c>
      <c r="H31" s="81">
        <f t="shared" si="2"/>
        <v>45</v>
      </c>
      <c r="I31" s="510">
        <f>J31+K31+L31</f>
        <v>14</v>
      </c>
      <c r="J31" s="510">
        <v>8</v>
      </c>
      <c r="K31" s="510"/>
      <c r="L31" s="510">
        <v>6</v>
      </c>
      <c r="M31" s="511">
        <f>H31-I31</f>
        <v>31</v>
      </c>
      <c r="N31" s="512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267</v>
      </c>
      <c r="AO31" s="192"/>
      <c r="AP31" s="192"/>
      <c r="AQ31" s="192"/>
      <c r="AR31" s="192"/>
      <c r="AS31" s="192"/>
      <c r="AT31" s="192"/>
      <c r="AW31" s="192" t="str">
        <f t="shared" si="1"/>
        <v>так</v>
      </c>
      <c r="AX31" s="192">
        <f t="shared" si="1"/>
      </c>
      <c r="AY31" s="537">
        <f t="shared" si="1"/>
      </c>
      <c r="AZ31" s="192" t="s">
        <v>337</v>
      </c>
    </row>
    <row r="32" spans="1:51" ht="15.75" customHeight="1">
      <c r="A32" s="186" t="s">
        <v>277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268</v>
      </c>
      <c r="AO32" s="192"/>
      <c r="AP32" s="192"/>
      <c r="AQ32" s="192"/>
      <c r="AR32" s="192"/>
      <c r="AS32" s="192"/>
      <c r="AT32" s="192"/>
      <c r="AW32" s="192" t="s">
        <v>335</v>
      </c>
      <c r="AX32" s="192">
        <f t="shared" si="1"/>
      </c>
      <c r="AY32" s="537">
        <f t="shared" si="1"/>
      </c>
    </row>
    <row r="33" spans="1:51" ht="15.75" customHeight="1">
      <c r="A33" s="28"/>
      <c r="B33" s="160" t="s">
        <v>294</v>
      </c>
      <c r="C33" s="11"/>
      <c r="D33" s="9"/>
      <c r="E33" s="9"/>
      <c r="F33" s="9"/>
      <c r="G33" s="5">
        <v>0.5</v>
      </c>
      <c r="H33" s="81">
        <f t="shared" si="2"/>
        <v>15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  <c r="AW33" s="192">
        <f t="shared" si="1"/>
      </c>
      <c r="AX33" s="192">
        <f t="shared" si="1"/>
      </c>
      <c r="AY33" s="537">
        <f t="shared" si="1"/>
      </c>
    </row>
    <row r="34" spans="1:52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2.5</v>
      </c>
      <c r="H34" s="81">
        <f t="shared" si="2"/>
        <v>75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45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  <c r="AW34" s="192" t="str">
        <f t="shared" si="1"/>
        <v>так</v>
      </c>
      <c r="AX34" s="192">
        <f t="shared" si="1"/>
      </c>
      <c r="AY34" s="537">
        <f t="shared" si="1"/>
      </c>
      <c r="AZ34" s="192" t="s">
        <v>337</v>
      </c>
    </row>
    <row r="35" spans="1:50" ht="15.75" customHeight="1">
      <c r="A35" s="190"/>
      <c r="B35" s="160" t="s">
        <v>34</v>
      </c>
      <c r="C35" s="11" t="s">
        <v>258</v>
      </c>
      <c r="D35" s="11"/>
      <c r="E35" s="11"/>
      <c r="F35" s="9"/>
      <c r="G35" s="5">
        <v>2.5</v>
      </c>
      <c r="H35" s="81">
        <f t="shared" si="2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  <c r="AX35" s="192"/>
    </row>
    <row r="36" spans="1:52" ht="15.75" customHeight="1">
      <c r="A36" s="184" t="s">
        <v>278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2"/>
        <v>120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  <c r="AW36" s="192">
        <f t="shared" si="1"/>
      </c>
      <c r="AX36" s="192" t="s">
        <v>335</v>
      </c>
      <c r="AY36" s="537">
        <f t="shared" si="1"/>
      </c>
      <c r="AZ36" s="192" t="s">
        <v>337</v>
      </c>
    </row>
    <row r="37" spans="1:51" ht="15.75" customHeight="1">
      <c r="A37" s="31"/>
      <c r="B37" s="160" t="s">
        <v>294</v>
      </c>
      <c r="C37" s="11"/>
      <c r="D37" s="9"/>
      <c r="E37" s="9"/>
      <c r="F37" s="9"/>
      <c r="G37" s="5">
        <v>1</v>
      </c>
      <c r="H37" s="81">
        <f t="shared" si="2"/>
        <v>30</v>
      </c>
      <c r="I37" s="4"/>
      <c r="J37" s="10"/>
      <c r="K37" s="11"/>
      <c r="L37" s="11"/>
      <c r="M37" s="27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  <c r="AW37" s="192">
        <f t="shared" si="1"/>
      </c>
      <c r="AX37" s="192">
        <f t="shared" si="1"/>
      </c>
      <c r="AY37" s="537">
        <f t="shared" si="1"/>
      </c>
    </row>
    <row r="38" spans="1:52" ht="15.75" customHeight="1">
      <c r="A38" s="185"/>
      <c r="B38" s="160" t="s">
        <v>34</v>
      </c>
      <c r="C38" s="11" t="s">
        <v>258</v>
      </c>
      <c r="D38" s="9"/>
      <c r="E38" s="9"/>
      <c r="F38" s="9"/>
      <c r="G38" s="5">
        <v>3</v>
      </c>
      <c r="H38" s="81">
        <f t="shared" si="2"/>
        <v>90</v>
      </c>
      <c r="I38" s="4">
        <f>SUMPRODUCT(N38:V38,$N$7:$V$7)</f>
        <v>27</v>
      </c>
      <c r="J38" s="10">
        <v>18</v>
      </c>
      <c r="K38" s="11"/>
      <c r="L38" s="10">
        <v>9</v>
      </c>
      <c r="M38" s="27">
        <f>H38-I38</f>
        <v>63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  <c r="AW38" s="192">
        <f t="shared" si="1"/>
      </c>
      <c r="AX38" s="192" t="str">
        <f t="shared" si="1"/>
        <v>так</v>
      </c>
      <c r="AY38" s="537">
        <f t="shared" si="1"/>
      </c>
      <c r="AZ38" s="192" t="s">
        <v>337</v>
      </c>
    </row>
    <row r="39" spans="1:52" ht="15.75" customHeight="1">
      <c r="A39" s="184" t="s">
        <v>279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2"/>
        <v>105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  <c r="AW39" s="192">
        <f t="shared" si="1"/>
      </c>
      <c r="AX39" s="192" t="s">
        <v>335</v>
      </c>
      <c r="AY39" s="537">
        <f t="shared" si="1"/>
      </c>
      <c r="AZ39" s="192" t="s">
        <v>337</v>
      </c>
    </row>
    <row r="40" spans="1:51" ht="15.75" customHeight="1">
      <c r="A40" s="31"/>
      <c r="B40" s="160" t="s">
        <v>294</v>
      </c>
      <c r="C40" s="11"/>
      <c r="D40" s="9"/>
      <c r="E40" s="9"/>
      <c r="F40" s="9"/>
      <c r="G40" s="5"/>
      <c r="H40" s="81">
        <f t="shared" si="2"/>
        <v>0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  <c r="AW40" s="192">
        <f t="shared" si="1"/>
      </c>
      <c r="AX40" s="192">
        <f t="shared" si="1"/>
      </c>
      <c r="AY40" s="537">
        <f t="shared" si="1"/>
      </c>
    </row>
    <row r="41" spans="1:52" ht="15.75" customHeight="1">
      <c r="A41" s="184"/>
      <c r="B41" s="160" t="s">
        <v>34</v>
      </c>
      <c r="C41" s="11"/>
      <c r="D41" s="11" t="s">
        <v>259</v>
      </c>
      <c r="E41" s="11"/>
      <c r="F41" s="9"/>
      <c r="G41" s="5">
        <v>3.5</v>
      </c>
      <c r="H41" s="81">
        <f t="shared" si="2"/>
        <v>105</v>
      </c>
      <c r="I41" s="4">
        <f>SUMPRODUCT(N41:V41,$N$7:$V$7)</f>
        <v>36</v>
      </c>
      <c r="J41" s="10">
        <v>18</v>
      </c>
      <c r="K41" s="11">
        <v>18</v>
      </c>
      <c r="L41" s="10"/>
      <c r="M41" s="27">
        <f>H41-I41</f>
        <v>69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  <c r="AW41" s="192">
        <f t="shared" si="1"/>
      </c>
      <c r="AX41" s="192">
        <f t="shared" si="1"/>
      </c>
      <c r="AY41" s="537" t="str">
        <f t="shared" si="1"/>
        <v>так</v>
      </c>
      <c r="AZ41" s="192" t="s">
        <v>337</v>
      </c>
    </row>
    <row r="42" spans="1:52" ht="15.75" customHeight="1">
      <c r="A42" s="184" t="s">
        <v>280</v>
      </c>
      <c r="B42" s="70" t="s">
        <v>54</v>
      </c>
      <c r="C42" s="11"/>
      <c r="D42" s="9"/>
      <c r="E42" s="9"/>
      <c r="F42" s="9"/>
      <c r="G42" s="648">
        <f>SUM(G43:G44)</f>
        <v>6</v>
      </c>
      <c r="H42" s="81">
        <f t="shared" si="2"/>
        <v>180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  <c r="AW42" s="192" t="s">
        <v>335</v>
      </c>
      <c r="AX42" s="192">
        <f t="shared" si="1"/>
      </c>
      <c r="AY42" s="537">
        <f t="shared" si="1"/>
      </c>
      <c r="AZ42" s="192" t="s">
        <v>337</v>
      </c>
    </row>
    <row r="43" spans="1:51" ht="15.75" customHeight="1">
      <c r="A43" s="184"/>
      <c r="B43" s="160" t="s">
        <v>294</v>
      </c>
      <c r="C43" s="11"/>
      <c r="D43" s="9"/>
      <c r="E43" s="9"/>
      <c r="F43" s="9"/>
      <c r="G43" s="5">
        <v>2</v>
      </c>
      <c r="H43" s="81">
        <f t="shared" si="2"/>
        <v>60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  <c r="AW43" s="192">
        <f t="shared" si="1"/>
      </c>
      <c r="AX43" s="192">
        <f t="shared" si="1"/>
      </c>
      <c r="AY43" s="537">
        <f t="shared" si="1"/>
      </c>
    </row>
    <row r="44" spans="1:52" ht="15.75" customHeight="1">
      <c r="A44" s="184"/>
      <c r="B44" s="160" t="s">
        <v>34</v>
      </c>
      <c r="C44" s="649"/>
      <c r="D44" s="650"/>
      <c r="E44" s="9"/>
      <c r="F44" s="9"/>
      <c r="G44" s="5">
        <v>4</v>
      </c>
      <c r="H44" s="643">
        <f>G44*30</f>
        <v>120</v>
      </c>
      <c r="I44" s="4">
        <f>SUMPRODUCT(N44:V44,$N$7:$V$7)</f>
        <v>75</v>
      </c>
      <c r="J44" s="10">
        <v>45</v>
      </c>
      <c r="K44" s="11"/>
      <c r="L44" s="10">
        <v>30</v>
      </c>
      <c r="M44" s="32">
        <f>H44-I44</f>
        <v>45</v>
      </c>
      <c r="N44" s="35">
        <v>5</v>
      </c>
      <c r="O44" s="12"/>
      <c r="P44" s="36"/>
      <c r="Q44" s="68"/>
      <c r="R44" s="12"/>
      <c r="S44" s="36"/>
      <c r="T44" s="68"/>
      <c r="U44" s="12"/>
      <c r="V44" s="36"/>
      <c r="W44" s="35"/>
      <c r="X44" s="82" t="e">
        <f>$G44/#REF!</f>
        <v>#REF!</v>
      </c>
      <c r="Y44" s="12"/>
      <c r="Z44" s="45"/>
      <c r="AA44" s="35"/>
      <c r="AB44" s="12"/>
      <c r="AC44" s="36"/>
      <c r="AW44" s="192" t="str">
        <f t="shared" si="1"/>
        <v>так</v>
      </c>
      <c r="AX44" s="192">
        <f t="shared" si="1"/>
      </c>
      <c r="AY44" s="537">
        <f t="shared" si="1"/>
      </c>
      <c r="AZ44" s="192" t="s">
        <v>337</v>
      </c>
    </row>
    <row r="45" spans="1:51" ht="15.75" customHeight="1">
      <c r="A45" s="184"/>
      <c r="B45" s="160" t="s">
        <v>34</v>
      </c>
      <c r="C45" s="649"/>
      <c r="D45" s="650"/>
      <c r="E45" s="9"/>
      <c r="F45" s="9"/>
      <c r="G45" s="5">
        <v>2.5</v>
      </c>
      <c r="H45" s="643">
        <f>G45*30</f>
        <v>75</v>
      </c>
      <c r="I45" s="4">
        <f>SUMPRODUCT(N45:V45,$N$7:$V$7)</f>
        <v>27</v>
      </c>
      <c r="J45" s="10">
        <v>18</v>
      </c>
      <c r="K45" s="11"/>
      <c r="L45" s="10">
        <v>9</v>
      </c>
      <c r="M45" s="32">
        <f>H45-I45</f>
        <v>48</v>
      </c>
      <c r="N45" s="35"/>
      <c r="O45" s="12">
        <v>3</v>
      </c>
      <c r="P45" s="36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  <c r="AW45" s="192">
        <f t="shared" si="1"/>
      </c>
      <c r="AX45" s="192" t="str">
        <f t="shared" si="1"/>
        <v>так</v>
      </c>
      <c r="AY45" s="537" t="s">
        <v>335</v>
      </c>
    </row>
    <row r="46" spans="1:51" ht="15.75" customHeight="1">
      <c r="A46" s="184"/>
      <c r="B46" s="160" t="s">
        <v>34</v>
      </c>
      <c r="C46" s="649">
        <v>1</v>
      </c>
      <c r="D46" s="649"/>
      <c r="E46" s="11"/>
      <c r="F46" s="9"/>
      <c r="G46" s="5">
        <v>2.5</v>
      </c>
      <c r="H46" s="643">
        <f>G46*30</f>
        <v>75</v>
      </c>
      <c r="I46" s="4">
        <f>SUMPRODUCT(N46:V46,$N$7:$V$7)</f>
        <v>27</v>
      </c>
      <c r="J46" s="10">
        <v>18</v>
      </c>
      <c r="K46" s="11"/>
      <c r="L46" s="10">
        <v>9</v>
      </c>
      <c r="M46" s="644">
        <f>H46-I46</f>
        <v>48</v>
      </c>
      <c r="N46" s="35"/>
      <c r="O46" s="12"/>
      <c r="P46" s="36">
        <v>3</v>
      </c>
      <c r="Q46" s="69"/>
      <c r="R46" s="16"/>
      <c r="S46" s="38"/>
      <c r="T46" s="69"/>
      <c r="U46" s="16"/>
      <c r="V46" s="38"/>
      <c r="W46" s="37"/>
      <c r="X46" s="69"/>
      <c r="Y46" s="16"/>
      <c r="Z46" s="46"/>
      <c r="AA46" s="37"/>
      <c r="AB46" s="16"/>
      <c r="AC46" s="38"/>
      <c r="AW46" s="192">
        <f t="shared" si="1"/>
      </c>
      <c r="AX46" s="192">
        <f t="shared" si="1"/>
      </c>
      <c r="AY46" s="537" t="str">
        <f t="shared" si="1"/>
        <v>так</v>
      </c>
    </row>
    <row r="47" spans="1:51" ht="15.75" customHeight="1" hidden="1">
      <c r="A47" s="184"/>
      <c r="B47" s="16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82" t="e">
        <f>$G47/#REF!</f>
        <v>#REF!</v>
      </c>
      <c r="AA47" s="35"/>
      <c r="AB47" s="12"/>
      <c r="AC47" s="36"/>
      <c r="AW47" s="192">
        <f t="shared" si="1"/>
      </c>
      <c r="AX47" s="192">
        <f t="shared" si="1"/>
      </c>
      <c r="AY47" s="537">
        <f t="shared" si="1"/>
      </c>
    </row>
    <row r="48" spans="1:50" ht="15.75" customHeight="1" hidden="1">
      <c r="A48" s="184"/>
      <c r="B48" s="160"/>
      <c r="C48" s="11"/>
      <c r="D48" s="9"/>
      <c r="E48" s="9"/>
      <c r="F48" s="9"/>
      <c r="G48" s="5"/>
      <c r="H48" s="81"/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68"/>
      <c r="U48" s="12"/>
      <c r="V48" s="36"/>
      <c r="W48" s="35"/>
      <c r="X48" s="68"/>
      <c r="Y48" s="12"/>
      <c r="Z48" s="224"/>
      <c r="AA48" s="35"/>
      <c r="AB48" s="12"/>
      <c r="AC48" s="36"/>
      <c r="AX48" s="192"/>
    </row>
    <row r="49" spans="1:50" ht="15.75" customHeight="1" hidden="1">
      <c r="A49" s="184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224"/>
      <c r="AA49" s="35"/>
      <c r="AB49" s="12"/>
      <c r="AC49" s="36"/>
      <c r="AX49" s="192"/>
    </row>
    <row r="50" spans="1:52" ht="16.5" customHeight="1">
      <c r="A50" s="184" t="s">
        <v>281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2"/>
        <v>90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  <c r="AW50" s="192">
        <f t="shared" si="1"/>
      </c>
      <c r="AX50" s="192" t="s">
        <v>335</v>
      </c>
      <c r="AY50" s="537">
        <f t="shared" si="1"/>
      </c>
      <c r="AZ50" s="192" t="s">
        <v>337</v>
      </c>
    </row>
    <row r="51" spans="1:51" ht="15.75" customHeight="1">
      <c r="A51" s="184"/>
      <c r="B51" s="160" t="s">
        <v>294</v>
      </c>
      <c r="C51" s="15"/>
      <c r="D51" s="13"/>
      <c r="E51" s="13"/>
      <c r="F51" s="13"/>
      <c r="G51" s="5">
        <v>0</v>
      </c>
      <c r="H51" s="81">
        <f t="shared" si="2"/>
        <v>0</v>
      </c>
      <c r="I51" s="4"/>
      <c r="J51" s="14"/>
      <c r="K51" s="15"/>
      <c r="L51" s="15"/>
      <c r="M51" s="18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  <c r="AW51" s="192">
        <f t="shared" si="1"/>
      </c>
      <c r="AX51" s="192">
        <f t="shared" si="1"/>
      </c>
      <c r="AY51" s="537">
        <f t="shared" si="1"/>
      </c>
    </row>
    <row r="52" spans="1:52" ht="15.75" customHeight="1">
      <c r="A52" s="184"/>
      <c r="B52" s="160" t="s">
        <v>34</v>
      </c>
      <c r="C52" s="11"/>
      <c r="D52" s="11" t="s">
        <v>258</v>
      </c>
      <c r="E52" s="9"/>
      <c r="F52" s="9"/>
      <c r="G52" s="5">
        <v>3</v>
      </c>
      <c r="H52" s="81">
        <f t="shared" si="2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27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  <c r="AW52" s="192">
        <f t="shared" si="1"/>
      </c>
      <c r="AX52" s="192" t="str">
        <f t="shared" si="1"/>
        <v>так</v>
      </c>
      <c r="AY52" s="537">
        <f t="shared" si="1"/>
      </c>
      <c r="AZ52" s="192" t="s">
        <v>337</v>
      </c>
    </row>
    <row r="53" spans="1:52" ht="16.5" customHeight="1">
      <c r="A53" s="184" t="s">
        <v>282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2"/>
        <v>210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  <c r="AW53" s="192" t="s">
        <v>335</v>
      </c>
      <c r="AX53" s="192">
        <f t="shared" si="1"/>
      </c>
      <c r="AY53" s="537">
        <f t="shared" si="1"/>
      </c>
      <c r="AZ53" s="192" t="s">
        <v>337</v>
      </c>
    </row>
    <row r="54" spans="1:51" ht="16.5" customHeight="1">
      <c r="A54" s="184"/>
      <c r="B54" s="160" t="s">
        <v>294</v>
      </c>
      <c r="C54" s="11"/>
      <c r="D54" s="11"/>
      <c r="E54" s="11"/>
      <c r="F54" s="9"/>
      <c r="G54" s="5">
        <v>1</v>
      </c>
      <c r="H54" s="81">
        <f t="shared" si="2"/>
        <v>30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  <c r="AW54" s="192">
        <f t="shared" si="1"/>
      </c>
      <c r="AX54" s="192">
        <f t="shared" si="1"/>
      </c>
      <c r="AY54" s="537">
        <f t="shared" si="1"/>
      </c>
    </row>
    <row r="55" spans="1:52" ht="15.75" customHeight="1" thickBot="1">
      <c r="A55" s="184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2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27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  <c r="AW55" s="192" t="str">
        <f t="shared" si="1"/>
        <v>так</v>
      </c>
      <c r="AX55" s="192">
        <f t="shared" si="1"/>
      </c>
      <c r="AY55" s="537">
        <f t="shared" si="1"/>
      </c>
      <c r="AZ55" s="192" t="s">
        <v>337</v>
      </c>
    </row>
    <row r="56" spans="1:51" ht="15.75" customHeight="1" hidden="1">
      <c r="A56" s="184"/>
      <c r="B56" s="70"/>
      <c r="C56" s="11"/>
      <c r="D56" s="9"/>
      <c r="E56" s="9"/>
      <c r="F56" s="9"/>
      <c r="G56" s="5"/>
      <c r="H56" s="81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  <c r="AW56" s="192">
        <f t="shared" si="1"/>
      </c>
      <c r="AX56" s="192" t="s">
        <v>335</v>
      </c>
      <c r="AY56" s="537">
        <f t="shared" si="1"/>
      </c>
    </row>
    <row r="57" spans="1:51" ht="15.75" customHeight="1" hidden="1">
      <c r="A57" s="28"/>
      <c r="B57" s="160"/>
      <c r="C57" s="11"/>
      <c r="D57" s="9"/>
      <c r="E57" s="9"/>
      <c r="F57" s="9"/>
      <c r="G57" s="5"/>
      <c r="H57" s="81"/>
      <c r="I57" s="4"/>
      <c r="J57" s="10"/>
      <c r="K57" s="11"/>
      <c r="L57" s="11"/>
      <c r="M57" s="27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  <c r="AW57" s="192">
        <f t="shared" si="1"/>
      </c>
      <c r="AX57" s="192">
        <f t="shared" si="1"/>
      </c>
      <c r="AY57" s="537">
        <f t="shared" si="1"/>
      </c>
    </row>
    <row r="58" spans="1:51" ht="15.75" customHeight="1" hidden="1" thickBot="1">
      <c r="A58" s="184"/>
      <c r="B58" s="160"/>
      <c r="C58" s="11"/>
      <c r="D58" s="11"/>
      <c r="E58" s="11"/>
      <c r="F58" s="9"/>
      <c r="G58" s="5"/>
      <c r="H58" s="81"/>
      <c r="I58" s="4"/>
      <c r="J58" s="10"/>
      <c r="K58" s="11"/>
      <c r="L58" s="11"/>
      <c r="M58" s="27"/>
      <c r="N58" s="277"/>
      <c r="O58" s="278"/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  <c r="AW58" s="192">
        <f t="shared" si="1"/>
      </c>
      <c r="AX58" s="192">
        <f t="shared" si="1"/>
      </c>
      <c r="AY58" s="537">
        <f t="shared" si="1"/>
      </c>
    </row>
    <row r="59" spans="1:51" ht="16.5" customHeight="1" thickBot="1">
      <c r="A59" s="838" t="s">
        <v>4</v>
      </c>
      <c r="B59" s="839"/>
      <c r="C59" s="8"/>
      <c r="D59" s="8"/>
      <c r="E59" s="8"/>
      <c r="F59" s="8"/>
      <c r="G59" s="234">
        <f>SUM(G11,G14,G15,G18,G19,G22:G25,G28,G29,G32,G36,G39,G42,G50,G53,G56)</f>
        <v>58.5</v>
      </c>
      <c r="H59" s="61">
        <f>SUM(H11,H14,H15,H18,H19,H22:H25,H28,H29,H32,H36,H39,H42,H45,H50,H53,H56)</f>
        <v>1830</v>
      </c>
      <c r="I59" s="61"/>
      <c r="J59" s="61"/>
      <c r="K59" s="61"/>
      <c r="L59" s="61"/>
      <c r="M59" s="61"/>
      <c r="N59" s="33"/>
      <c r="O59" s="8"/>
      <c r="P59" s="30"/>
      <c r="Q59" s="33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1755</v>
      </c>
      <c r="AW59" s="192">
        <f t="shared" si="1"/>
      </c>
      <c r="AX59" s="192">
        <f t="shared" si="1"/>
      </c>
      <c r="AY59" s="537">
        <f t="shared" si="1"/>
      </c>
    </row>
    <row r="60" spans="1:51" ht="15.75" customHeight="1" thickBot="1">
      <c r="A60" s="838" t="s">
        <v>295</v>
      </c>
      <c r="B60" s="839"/>
      <c r="C60" s="8"/>
      <c r="D60" s="8"/>
      <c r="E60" s="8"/>
      <c r="F60" s="8"/>
      <c r="G60" s="234">
        <f>SUM(G12,G14,G16,G18,G20,G26,G30,G33,G37,G40,G43,G51,G54,G57)</f>
        <v>22.5</v>
      </c>
      <c r="H60" s="61">
        <f>SUM(H12,H14,H16,H18,H20,H22,H23,H24,H26,H30,H33,H37,H40,H43,H46,H51,H54,H57)</f>
        <v>750</v>
      </c>
      <c r="I60" s="61"/>
      <c r="J60" s="61"/>
      <c r="K60" s="61"/>
      <c r="L60" s="61"/>
      <c r="M60" s="61"/>
      <c r="N60" s="33"/>
      <c r="O60" s="8"/>
      <c r="P60" s="30"/>
      <c r="Q60" s="33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675</v>
      </c>
      <c r="AE60" s="350" t="e">
        <f>G26+#REF!+G30+G33+G37+G40+G43+G46+#REF!+G54+G57</f>
        <v>#REF!</v>
      </c>
      <c r="AW60" s="192">
        <f t="shared" si="1"/>
      </c>
      <c r="AX60" s="192">
        <f t="shared" si="1"/>
      </c>
      <c r="AY60" s="537">
        <f t="shared" si="1"/>
      </c>
    </row>
    <row r="61" spans="1:32" ht="16.5" customHeight="1" thickBot="1">
      <c r="A61" s="838" t="s">
        <v>72</v>
      </c>
      <c r="B61" s="839"/>
      <c r="C61" s="19"/>
      <c r="D61" s="19"/>
      <c r="E61" s="19"/>
      <c r="F61" s="19"/>
      <c r="G61" s="234">
        <f>SUM(G13,G17,G21,G27,G28,G31,G34:G35,G38,G41,G44:G46,G47,G52,G55,G58)</f>
        <v>41</v>
      </c>
      <c r="H61" s="61">
        <f aca="true" t="shared" si="5" ref="H61:M61">SUM(H13,H17,H21,H27,H28,H31,H34,H38,H41,H44,H47,H52,H55,H58)</f>
        <v>1005</v>
      </c>
      <c r="I61" s="61">
        <f t="shared" si="5"/>
        <v>382</v>
      </c>
      <c r="J61" s="61">
        <f t="shared" si="5"/>
        <v>207</v>
      </c>
      <c r="K61" s="61">
        <f t="shared" si="5"/>
        <v>48</v>
      </c>
      <c r="L61" s="61">
        <f t="shared" si="5"/>
        <v>127</v>
      </c>
      <c r="M61" s="61">
        <f t="shared" si="5"/>
        <v>623</v>
      </c>
      <c r="N61" s="39">
        <f aca="true" t="shared" si="6" ref="N61:V61">SUM(N11:N58)</f>
        <v>16</v>
      </c>
      <c r="O61" s="39">
        <f t="shared" si="6"/>
        <v>14</v>
      </c>
      <c r="P61" s="39">
        <f t="shared" si="6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6"/>
        <v>0</v>
      </c>
      <c r="U61" s="39">
        <f t="shared" si="6"/>
        <v>2</v>
      </c>
      <c r="V61" s="39">
        <f t="shared" si="6"/>
        <v>2</v>
      </c>
      <c r="W61" s="90" t="e">
        <f aca="true" t="shared" si="7" ref="W61:AC61">SUM(W25:W58)</f>
        <v>#REF!</v>
      </c>
      <c r="X61" s="91" t="e">
        <f t="shared" si="7"/>
        <v>#REF!</v>
      </c>
      <c r="Y61" s="91" t="e">
        <f t="shared" si="7"/>
        <v>#REF!</v>
      </c>
      <c r="Z61" s="92" t="e">
        <f t="shared" si="7"/>
        <v>#REF!</v>
      </c>
      <c r="AA61" s="39">
        <f t="shared" si="7"/>
        <v>0</v>
      </c>
      <c r="AB61" s="21">
        <f t="shared" si="7"/>
        <v>0</v>
      </c>
      <c r="AC61" s="40">
        <f t="shared" si="7"/>
        <v>0</v>
      </c>
      <c r="AD61" s="2">
        <f>G61*30</f>
        <v>1230</v>
      </c>
      <c r="AE61" s="350">
        <f>G27+G28+G31+G34+G38+G41+G44+G47+G50+G55+G58</f>
        <v>28.5</v>
      </c>
      <c r="AF61" s="2">
        <f>AE61*30</f>
        <v>855</v>
      </c>
    </row>
    <row r="62" spans="1:52" s="143" customFormat="1" ht="18.75" customHeight="1" thickBot="1">
      <c r="A62" s="840" t="s">
        <v>283</v>
      </c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3"/>
      <c r="AW62" s="351"/>
      <c r="AX62" s="536"/>
      <c r="AY62" s="536"/>
      <c r="AZ62" s="351"/>
    </row>
    <row r="63" spans="1:52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10">
        <v>1</v>
      </c>
      <c r="AP63" s="510" t="s">
        <v>258</v>
      </c>
      <c r="AQ63" s="510" t="s">
        <v>259</v>
      </c>
      <c r="AR63" s="510">
        <v>3</v>
      </c>
      <c r="AS63" s="510" t="s">
        <v>260</v>
      </c>
      <c r="AT63" s="510" t="s">
        <v>261</v>
      </c>
      <c r="AW63" s="192">
        <f aca="true" t="shared" si="8" ref="AW63:AY137">IF(ISBLANK(N63)=FALSE,"так","")</f>
      </c>
      <c r="AX63" s="192">
        <f t="shared" si="8"/>
      </c>
      <c r="AY63" s="537" t="s">
        <v>335</v>
      </c>
      <c r="AZ63" s="192" t="s">
        <v>337</v>
      </c>
    </row>
    <row r="64" spans="1:51" ht="15.75" customHeight="1">
      <c r="A64" s="184"/>
      <c r="B64" s="160" t="s">
        <v>294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10"/>
      <c r="AP64" s="510"/>
      <c r="AQ64" s="510"/>
      <c r="AR64" s="510"/>
      <c r="AS64" s="510"/>
      <c r="AT64" s="510"/>
      <c r="AW64" s="192">
        <f t="shared" si="8"/>
      </c>
      <c r="AX64" s="192">
        <f t="shared" si="8"/>
      </c>
      <c r="AY64" s="537">
        <f t="shared" si="8"/>
      </c>
    </row>
    <row r="65" spans="1:52" ht="15.75" customHeight="1">
      <c r="A65" s="184"/>
      <c r="B65" s="160" t="s">
        <v>34</v>
      </c>
      <c r="C65" s="4"/>
      <c r="D65" s="4" t="s">
        <v>259</v>
      </c>
      <c r="E65" s="4"/>
      <c r="F65" s="4"/>
      <c r="G65" s="5">
        <v>2.5</v>
      </c>
      <c r="H65" s="5">
        <f aca="true" t="shared" si="9" ref="H65:H128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10"/>
      <c r="AP65" s="510"/>
      <c r="AQ65" s="510"/>
      <c r="AR65" s="510"/>
      <c r="AS65" s="510"/>
      <c r="AT65" s="510"/>
      <c r="AW65" s="192">
        <f t="shared" si="8"/>
      </c>
      <c r="AX65" s="192">
        <f t="shared" si="8"/>
      </c>
      <c r="AY65" s="537" t="str">
        <f t="shared" si="8"/>
        <v>так</v>
      </c>
      <c r="AZ65" s="192" t="s">
        <v>337</v>
      </c>
    </row>
    <row r="66" spans="1:51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f>G67+G68</f>
        <v>3.5</v>
      </c>
      <c r="H66" s="5">
        <f t="shared" si="9"/>
        <v>105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265</v>
      </c>
      <c r="AO66" s="351">
        <f aca="true" t="shared" si="10" ref="AO66:AT66">COUNTIF($C63:$C131,AO63)</f>
        <v>0</v>
      </c>
      <c r="AP66" s="351">
        <f t="shared" si="10"/>
        <v>0</v>
      </c>
      <c r="AQ66" s="351">
        <f t="shared" si="10"/>
        <v>1</v>
      </c>
      <c r="AR66" s="351">
        <f t="shared" si="10"/>
        <v>0</v>
      </c>
      <c r="AS66" s="351">
        <f t="shared" si="10"/>
        <v>0</v>
      </c>
      <c r="AT66" s="351">
        <f t="shared" si="10"/>
        <v>3</v>
      </c>
      <c r="AW66" s="192">
        <f t="shared" si="8"/>
      </c>
      <c r="AX66" s="192">
        <f t="shared" si="8"/>
      </c>
      <c r="AY66" s="537">
        <f t="shared" si="8"/>
      </c>
    </row>
    <row r="67" spans="1:51" ht="15.75" customHeight="1">
      <c r="A67" s="184"/>
      <c r="B67" s="160" t="s">
        <v>294</v>
      </c>
      <c r="C67" s="4"/>
      <c r="D67" s="4"/>
      <c r="E67" s="4"/>
      <c r="F67" s="4"/>
      <c r="G67" s="5">
        <v>0.5</v>
      </c>
      <c r="H67" s="5">
        <f t="shared" si="9"/>
        <v>15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266</v>
      </c>
      <c r="AO67" s="351">
        <f aca="true" t="shared" si="11" ref="AO67:AT67">COUNTIF($D63:$D131,AO63)</f>
        <v>1</v>
      </c>
      <c r="AP67" s="351">
        <f t="shared" si="11"/>
        <v>2</v>
      </c>
      <c r="AQ67" s="351">
        <f t="shared" si="11"/>
        <v>1</v>
      </c>
      <c r="AR67" s="351">
        <f t="shared" si="11"/>
        <v>4</v>
      </c>
      <c r="AS67" s="351">
        <f t="shared" si="11"/>
        <v>3</v>
      </c>
      <c r="AT67" s="351">
        <f t="shared" si="11"/>
        <v>1</v>
      </c>
      <c r="AW67" s="192">
        <f t="shared" si="8"/>
      </c>
      <c r="AX67" s="192">
        <f t="shared" si="8"/>
      </c>
      <c r="AY67" s="537">
        <f t="shared" si="8"/>
      </c>
    </row>
    <row r="68" spans="1:51" ht="15.75" customHeight="1">
      <c r="A68" s="184"/>
      <c r="B68" s="160" t="s">
        <v>34</v>
      </c>
      <c r="C68" s="4"/>
      <c r="D68" s="4" t="s">
        <v>261</v>
      </c>
      <c r="E68" s="4"/>
      <c r="F68" s="4"/>
      <c r="G68" s="5">
        <v>3</v>
      </c>
      <c r="H68" s="5">
        <f t="shared" si="9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267</v>
      </c>
      <c r="AO68" s="351">
        <f aca="true" t="shared" si="12" ref="AO68:AT68">COUNTIF($E63:$E131,AO63)</f>
        <v>0</v>
      </c>
      <c r="AP68" s="351">
        <f t="shared" si="12"/>
        <v>0</v>
      </c>
      <c r="AQ68" s="351">
        <f t="shared" si="12"/>
        <v>0</v>
      </c>
      <c r="AR68" s="351">
        <f t="shared" si="12"/>
        <v>0</v>
      </c>
      <c r="AS68" s="351">
        <f t="shared" si="12"/>
        <v>0</v>
      </c>
      <c r="AT68" s="351">
        <f t="shared" si="12"/>
        <v>0</v>
      </c>
      <c r="AW68" s="192">
        <f t="shared" si="8"/>
      </c>
      <c r="AX68" s="192">
        <f t="shared" si="8"/>
      </c>
      <c r="AY68" s="537">
        <f t="shared" si="8"/>
      </c>
    </row>
    <row r="69" spans="1:52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f>G70+G71</f>
        <v>6</v>
      </c>
      <c r="H69" s="5">
        <f t="shared" si="9"/>
        <v>180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268</v>
      </c>
      <c r="AO69" s="351">
        <f aca="true" t="shared" si="13" ref="AO69:AT69">COUNTIF($F63:$F131,AO63)</f>
        <v>0</v>
      </c>
      <c r="AP69" s="351">
        <f t="shared" si="13"/>
        <v>0</v>
      </c>
      <c r="AQ69" s="351">
        <f t="shared" si="13"/>
        <v>0</v>
      </c>
      <c r="AR69" s="351">
        <f t="shared" si="13"/>
        <v>1</v>
      </c>
      <c r="AS69" s="351">
        <f t="shared" si="13"/>
        <v>0</v>
      </c>
      <c r="AT69" s="351">
        <f t="shared" si="13"/>
        <v>1</v>
      </c>
      <c r="AW69" s="192" t="s">
        <v>335</v>
      </c>
      <c r="AX69" s="192">
        <f t="shared" si="8"/>
      </c>
      <c r="AY69" s="537">
        <f t="shared" si="8"/>
      </c>
      <c r="AZ69" s="192" t="s">
        <v>337</v>
      </c>
    </row>
    <row r="70" spans="1:51" ht="15.75" customHeight="1">
      <c r="A70" s="184"/>
      <c r="B70" s="160" t="s">
        <v>294</v>
      </c>
      <c r="C70" s="4"/>
      <c r="D70" s="4"/>
      <c r="E70" s="4"/>
      <c r="F70" s="4"/>
      <c r="G70" s="5">
        <v>3</v>
      </c>
      <c r="H70" s="5">
        <f t="shared" si="9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  <c r="AW70" s="192">
        <f t="shared" si="8"/>
      </c>
      <c r="AX70" s="192">
        <f t="shared" si="8"/>
      </c>
      <c r="AY70" s="537">
        <f t="shared" si="8"/>
      </c>
    </row>
    <row r="71" spans="1:52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3</v>
      </c>
      <c r="H71" s="5">
        <f t="shared" si="9"/>
        <v>90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60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3</v>
      </c>
      <c r="AW71" s="192">
        <f t="shared" si="8"/>
      </c>
      <c r="AX71" s="192">
        <f t="shared" si="8"/>
      </c>
      <c r="AY71" s="537">
        <f t="shared" si="8"/>
      </c>
      <c r="AZ71" s="192" t="s">
        <v>337</v>
      </c>
    </row>
    <row r="72" spans="1:51" ht="15.75" customHeight="1">
      <c r="A72" s="184" t="s">
        <v>143</v>
      </c>
      <c r="B72" s="70" t="s">
        <v>296</v>
      </c>
      <c r="C72" s="4"/>
      <c r="D72" s="4"/>
      <c r="E72" s="4"/>
      <c r="F72" s="4"/>
      <c r="G72" s="5">
        <v>3</v>
      </c>
      <c r="H72" s="5">
        <f t="shared" si="9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  <c r="AW72" s="192">
        <f t="shared" si="8"/>
      </c>
      <c r="AX72" s="192">
        <f t="shared" si="8"/>
      </c>
      <c r="AY72" s="537">
        <f t="shared" si="8"/>
      </c>
    </row>
    <row r="73" spans="1:52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  <c r="AW73" s="192">
        <f t="shared" si="8"/>
      </c>
      <c r="AX73" s="192">
        <f t="shared" si="8"/>
      </c>
      <c r="AY73" s="537" t="s">
        <v>335</v>
      </c>
      <c r="AZ73" s="192" t="s">
        <v>337</v>
      </c>
    </row>
    <row r="74" spans="1:51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  <c r="AW74" s="192">
        <f t="shared" si="8"/>
      </c>
      <c r="AX74" s="192">
        <f t="shared" si="8"/>
      </c>
      <c r="AY74" s="537">
        <f t="shared" si="8"/>
      </c>
    </row>
    <row r="75" spans="1:52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  <c r="AW75" s="192">
        <f t="shared" si="8"/>
      </c>
      <c r="AX75" s="192">
        <f t="shared" si="8"/>
      </c>
      <c r="AY75" s="537">
        <f t="shared" si="8"/>
      </c>
      <c r="AZ75" s="192" t="s">
        <v>337</v>
      </c>
    </row>
    <row r="76" spans="1:52" ht="15.75" customHeight="1">
      <c r="A76" s="184" t="s">
        <v>143</v>
      </c>
      <c r="B76" s="70" t="s">
        <v>270</v>
      </c>
      <c r="C76" s="4"/>
      <c r="D76" s="4" t="s">
        <v>258</v>
      </c>
      <c r="E76" s="4"/>
      <c r="F76" s="4"/>
      <c r="G76" s="5">
        <v>3</v>
      </c>
      <c r="H76" s="5">
        <f t="shared" si="9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  <c r="AW76" s="192">
        <f t="shared" si="8"/>
      </c>
      <c r="AX76" s="192" t="str">
        <f t="shared" si="8"/>
        <v>так</v>
      </c>
      <c r="AY76" s="537">
        <f t="shared" si="8"/>
      </c>
      <c r="AZ76" s="192" t="s">
        <v>337</v>
      </c>
    </row>
    <row r="77" spans="1:52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9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  <c r="AW77" s="192">
        <f t="shared" si="8"/>
      </c>
      <c r="AX77" s="192" t="s">
        <v>335</v>
      </c>
      <c r="AY77" s="537">
        <f t="shared" si="8"/>
      </c>
      <c r="AZ77" s="192" t="s">
        <v>337</v>
      </c>
    </row>
    <row r="78" spans="1:51" ht="15.75" customHeight="1">
      <c r="A78" s="31"/>
      <c r="B78" s="160" t="s">
        <v>294</v>
      </c>
      <c r="C78" s="4"/>
      <c r="D78" s="4"/>
      <c r="E78" s="4"/>
      <c r="F78" s="4"/>
      <c r="G78" s="4">
        <v>0.5</v>
      </c>
      <c r="H78" s="5">
        <f t="shared" si="9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  <c r="AW78" s="192">
        <f t="shared" si="8"/>
      </c>
      <c r="AX78" s="192">
        <f t="shared" si="8"/>
      </c>
      <c r="AY78" s="537">
        <f t="shared" si="8"/>
      </c>
    </row>
    <row r="79" spans="1:52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9"/>
        <v>105</v>
      </c>
      <c r="I79" s="4">
        <v>30</v>
      </c>
      <c r="J79" s="4">
        <v>15</v>
      </c>
      <c r="K79" s="4">
        <v>30</v>
      </c>
      <c r="L79" s="4"/>
      <c r="M79" s="32">
        <f>H79-I79</f>
        <v>75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  <c r="AW79" s="192">
        <f t="shared" si="8"/>
      </c>
      <c r="AX79" s="192">
        <f t="shared" si="8"/>
      </c>
      <c r="AY79" s="537">
        <f t="shared" si="8"/>
      </c>
      <c r="AZ79" s="192" t="s">
        <v>337</v>
      </c>
    </row>
    <row r="80" spans="1:52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9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  <c r="AW80" s="192">
        <f t="shared" si="8"/>
      </c>
      <c r="AX80" s="192" t="s">
        <v>335</v>
      </c>
      <c r="AY80" s="537" t="s">
        <v>335</v>
      </c>
      <c r="AZ80" s="192" t="s">
        <v>337</v>
      </c>
    </row>
    <row r="81" spans="1:51" ht="15.75" customHeight="1">
      <c r="A81" s="183"/>
      <c r="B81" s="160" t="s">
        <v>294</v>
      </c>
      <c r="C81" s="4"/>
      <c r="D81" s="4"/>
      <c r="E81" s="4"/>
      <c r="F81" s="4"/>
      <c r="G81" s="5">
        <v>2.5</v>
      </c>
      <c r="H81" s="5">
        <f t="shared" si="9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  <c r="AW81" s="192">
        <f t="shared" si="8"/>
      </c>
      <c r="AX81" s="192">
        <f t="shared" si="8"/>
      </c>
      <c r="AY81" s="537">
        <f t="shared" si="8"/>
      </c>
    </row>
    <row r="82" spans="1:52" ht="15.75" customHeight="1">
      <c r="A82" s="184"/>
      <c r="B82" s="160" t="s">
        <v>34</v>
      </c>
      <c r="C82" s="4"/>
      <c r="D82" s="4" t="s">
        <v>260</v>
      </c>
      <c r="E82" s="4"/>
      <c r="F82" s="4"/>
      <c r="G82" s="5">
        <v>1.5</v>
      </c>
      <c r="H82" s="5">
        <f t="shared" si="9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  <c r="AW82" s="192">
        <f t="shared" si="8"/>
      </c>
      <c r="AX82" s="192">
        <f t="shared" si="8"/>
      </c>
      <c r="AY82" s="537">
        <f t="shared" si="8"/>
      </c>
      <c r="AZ82" s="192" t="s">
        <v>337</v>
      </c>
    </row>
    <row r="83" spans="1:52" ht="15.75" customHeight="1">
      <c r="A83" s="184"/>
      <c r="B83" s="160" t="s">
        <v>34</v>
      </c>
      <c r="C83" s="4" t="s">
        <v>261</v>
      </c>
      <c r="D83" s="4"/>
      <c r="E83" s="4"/>
      <c r="F83" s="4"/>
      <c r="G83" s="5">
        <v>1.5</v>
      </c>
      <c r="H83" s="5">
        <f t="shared" si="9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  <c r="AW83" s="192">
        <f t="shared" si="8"/>
      </c>
      <c r="AX83" s="192">
        <f t="shared" si="8"/>
      </c>
      <c r="AY83" s="537">
        <f t="shared" si="8"/>
      </c>
      <c r="AZ83" s="192" t="s">
        <v>337</v>
      </c>
    </row>
    <row r="84" spans="1:52" ht="15.75" customHeight="1">
      <c r="A84" s="184"/>
      <c r="B84" s="160" t="s">
        <v>253</v>
      </c>
      <c r="C84" s="4"/>
      <c r="D84" s="4"/>
      <c r="E84" s="4"/>
      <c r="F84" s="4" t="s">
        <v>261</v>
      </c>
      <c r="G84" s="5">
        <v>1.5</v>
      </c>
      <c r="H84" s="5">
        <f t="shared" si="9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  <c r="AW84" s="192">
        <f t="shared" si="8"/>
      </c>
      <c r="AX84" s="192">
        <f t="shared" si="8"/>
      </c>
      <c r="AY84" s="537">
        <f t="shared" si="8"/>
      </c>
      <c r="AZ84" s="192" t="s">
        <v>337</v>
      </c>
    </row>
    <row r="85" spans="1:51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9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  <c r="AW85" s="192">
        <f t="shared" si="8"/>
      </c>
      <c r="AX85" s="192">
        <f t="shared" si="8"/>
      </c>
      <c r="AY85" s="537">
        <f t="shared" si="8"/>
      </c>
    </row>
    <row r="86" spans="1:51" ht="15.75" customHeight="1">
      <c r="A86" s="174"/>
      <c r="B86" s="160" t="s">
        <v>294</v>
      </c>
      <c r="C86" s="4"/>
      <c r="D86" s="4"/>
      <c r="E86" s="4"/>
      <c r="F86" s="4"/>
      <c r="G86" s="5">
        <v>1</v>
      </c>
      <c r="H86" s="5">
        <f t="shared" si="9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  <c r="AW86" s="192">
        <f t="shared" si="8"/>
      </c>
      <c r="AX86" s="192">
        <f t="shared" si="8"/>
      </c>
      <c r="AY86" s="537">
        <f t="shared" si="8"/>
      </c>
    </row>
    <row r="87" spans="1:5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9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  <c r="AW87" s="192">
        <f t="shared" si="8"/>
      </c>
      <c r="AX87" s="192">
        <f t="shared" si="8"/>
      </c>
      <c r="AY87" s="537">
        <f t="shared" si="8"/>
      </c>
    </row>
    <row r="88" spans="1:51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5.5</v>
      </c>
      <c r="H88" s="5">
        <f t="shared" si="9"/>
        <v>165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  <c r="AW88" s="192">
        <f t="shared" si="8"/>
      </c>
      <c r="AX88" s="192">
        <f t="shared" si="8"/>
      </c>
      <c r="AY88" s="537">
        <f t="shared" si="8"/>
      </c>
    </row>
    <row r="89" spans="1:51" ht="15.75" customHeight="1">
      <c r="A89" s="514"/>
      <c r="B89" s="160" t="s">
        <v>294</v>
      </c>
      <c r="C89" s="4"/>
      <c r="D89" s="4"/>
      <c r="E89" s="4"/>
      <c r="F89" s="4"/>
      <c r="G89" s="5">
        <v>1</v>
      </c>
      <c r="H89" s="5">
        <f t="shared" si="9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  <c r="AW89" s="192">
        <f t="shared" si="8"/>
      </c>
      <c r="AX89" s="192">
        <f t="shared" si="8"/>
      </c>
      <c r="AY89" s="537">
        <f t="shared" si="8"/>
      </c>
    </row>
    <row r="90" spans="1:5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3</v>
      </c>
      <c r="H90" s="5">
        <f t="shared" si="9"/>
        <v>90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45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3</v>
      </c>
      <c r="AW90" s="192">
        <f t="shared" si="8"/>
      </c>
      <c r="AX90" s="192">
        <f t="shared" si="8"/>
      </c>
      <c r="AY90" s="537">
        <f t="shared" si="8"/>
      </c>
    </row>
    <row r="91" spans="1:51" ht="15.75" customHeight="1">
      <c r="A91" s="174"/>
      <c r="B91" s="160" t="s">
        <v>253</v>
      </c>
      <c r="C91" s="4"/>
      <c r="D91" s="4"/>
      <c r="E91" s="4"/>
      <c r="F91" s="4" t="s">
        <v>349</v>
      </c>
      <c r="G91" s="5">
        <v>1.5</v>
      </c>
      <c r="H91" s="5">
        <f t="shared" si="9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  <c r="AW91" s="192">
        <f t="shared" si="8"/>
      </c>
      <c r="AX91" s="192">
        <f t="shared" si="8"/>
      </c>
      <c r="AY91" s="537">
        <f t="shared" si="8"/>
      </c>
    </row>
    <row r="92" spans="1:51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8.5</v>
      </c>
      <c r="H92" s="5">
        <f t="shared" si="9"/>
        <v>255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  <c r="AW92" s="192">
        <f t="shared" si="8"/>
      </c>
      <c r="AX92" s="192" t="s">
        <v>335</v>
      </c>
      <c r="AY92" s="537" t="s">
        <v>335</v>
      </c>
    </row>
    <row r="93" spans="1:51" ht="15.75" customHeight="1">
      <c r="A93" s="174"/>
      <c r="B93" s="160" t="s">
        <v>294</v>
      </c>
      <c r="C93" s="4"/>
      <c r="D93" s="4"/>
      <c r="E93" s="4"/>
      <c r="F93" s="4"/>
      <c r="G93" s="5">
        <v>1.5</v>
      </c>
      <c r="H93" s="5">
        <f t="shared" si="9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  <c r="AW93" s="192">
        <f t="shared" si="8"/>
      </c>
      <c r="AX93" s="192">
        <f t="shared" si="8"/>
      </c>
      <c r="AY93" s="537">
        <f t="shared" si="8"/>
      </c>
    </row>
    <row r="94" spans="1:52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9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  <c r="AW94" s="192">
        <f t="shared" si="8"/>
      </c>
      <c r="AX94" s="192">
        <f t="shared" si="8"/>
      </c>
      <c r="AY94" s="537">
        <f t="shared" si="8"/>
      </c>
      <c r="AZ94" s="192" t="s">
        <v>338</v>
      </c>
    </row>
    <row r="95" spans="1:50" ht="15.75" customHeight="1">
      <c r="A95" s="647"/>
      <c r="B95" s="160" t="s">
        <v>34</v>
      </c>
      <c r="C95" s="4"/>
      <c r="D95" s="4" t="s">
        <v>260</v>
      </c>
      <c r="E95" s="4"/>
      <c r="F95" s="4"/>
      <c r="G95" s="5">
        <v>2</v>
      </c>
      <c r="H95" s="5">
        <f t="shared" si="9"/>
        <v>60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33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  <c r="AX95" s="192"/>
    </row>
    <row r="96" spans="1:50" ht="15.75" customHeight="1">
      <c r="A96" s="647"/>
      <c r="B96" s="160" t="s">
        <v>34</v>
      </c>
      <c r="C96" s="4" t="s">
        <v>261</v>
      </c>
      <c r="D96" s="4"/>
      <c r="E96" s="4"/>
      <c r="F96" s="4"/>
      <c r="G96" s="5">
        <v>2</v>
      </c>
      <c r="H96" s="5">
        <f t="shared" si="9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  <c r="AX96" s="192"/>
    </row>
    <row r="97" spans="1:52" ht="15.75" customHeight="1">
      <c r="A97" s="186"/>
      <c r="B97" s="160" t="s">
        <v>253</v>
      </c>
      <c r="C97" s="4"/>
      <c r="D97" s="4"/>
      <c r="E97" s="4"/>
      <c r="F97" s="4">
        <v>5</v>
      </c>
      <c r="G97" s="5">
        <v>1</v>
      </c>
      <c r="H97" s="5">
        <f t="shared" si="9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  <c r="AW97" s="192">
        <f t="shared" si="8"/>
      </c>
      <c r="AX97" s="192">
        <f t="shared" si="8"/>
      </c>
      <c r="AY97" s="537">
        <f t="shared" si="8"/>
      </c>
      <c r="AZ97" s="192" t="s">
        <v>337</v>
      </c>
    </row>
    <row r="98" spans="1:51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9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  <c r="AW98" s="192">
        <f t="shared" si="8"/>
      </c>
      <c r="AX98" s="192">
        <f t="shared" si="8"/>
      </c>
      <c r="AY98" s="537">
        <f t="shared" si="8"/>
      </c>
    </row>
    <row r="99" spans="1:51" ht="15.75" customHeight="1">
      <c r="A99" s="183"/>
      <c r="B99" s="160" t="s">
        <v>294</v>
      </c>
      <c r="C99" s="4"/>
      <c r="D99" s="4"/>
      <c r="E99" s="4"/>
      <c r="F99" s="4"/>
      <c r="G99" s="5">
        <v>3</v>
      </c>
      <c r="H99" s="5">
        <f t="shared" si="9"/>
        <v>90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  <c r="AW99" s="192">
        <f t="shared" si="8"/>
      </c>
      <c r="AX99" s="192">
        <f t="shared" si="8"/>
      </c>
      <c r="AY99" s="537">
        <f t="shared" si="8"/>
      </c>
    </row>
    <row r="100" spans="1:5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3</v>
      </c>
      <c r="H100" s="5">
        <f t="shared" si="9"/>
        <v>90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45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3</v>
      </c>
      <c r="AW100" s="192">
        <f t="shared" si="8"/>
      </c>
      <c r="AX100" s="192">
        <f t="shared" si="8"/>
      </c>
      <c r="AY100" s="537">
        <f t="shared" si="8"/>
      </c>
    </row>
    <row r="101" spans="1:51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9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  <c r="AW101" s="192">
        <f t="shared" si="8"/>
      </c>
      <c r="AX101" s="192">
        <f t="shared" si="8"/>
      </c>
      <c r="AY101" s="537">
        <f t="shared" si="8"/>
      </c>
    </row>
    <row r="102" spans="1:51" ht="15.75" customHeight="1">
      <c r="A102" s="184"/>
      <c r="B102" s="160" t="s">
        <v>297</v>
      </c>
      <c r="C102" s="4"/>
      <c r="D102" s="4"/>
      <c r="E102" s="4"/>
      <c r="F102" s="4"/>
      <c r="G102" s="5">
        <v>3</v>
      </c>
      <c r="H102" s="5">
        <f t="shared" si="9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  <c r="AW102" s="192">
        <f t="shared" si="8"/>
      </c>
      <c r="AX102" s="192">
        <f t="shared" si="8"/>
      </c>
      <c r="AY102" s="537">
        <f t="shared" si="8"/>
      </c>
    </row>
    <row r="103" spans="1:51" ht="15.75" customHeight="1">
      <c r="A103" s="184"/>
      <c r="B103" s="160" t="s">
        <v>299</v>
      </c>
      <c r="C103" s="4"/>
      <c r="D103" s="4"/>
      <c r="E103" s="4"/>
      <c r="F103" s="4"/>
      <c r="G103" s="5">
        <v>3</v>
      </c>
      <c r="H103" s="5">
        <f t="shared" si="9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  <c r="AW103" s="192">
        <f t="shared" si="8"/>
      </c>
      <c r="AX103" s="192">
        <f t="shared" si="8"/>
      </c>
      <c r="AY103" s="537">
        <f t="shared" si="8"/>
      </c>
    </row>
    <row r="104" spans="1:51" ht="15.75" customHeight="1">
      <c r="A104" s="515"/>
      <c r="B104" s="160" t="s">
        <v>294</v>
      </c>
      <c r="C104" s="4"/>
      <c r="D104" s="4"/>
      <c r="E104" s="4"/>
      <c r="F104" s="4"/>
      <c r="G104" s="5">
        <v>1</v>
      </c>
      <c r="H104" s="5">
        <f t="shared" si="9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  <c r="AW104" s="192">
        <f t="shared" si="8"/>
      </c>
      <c r="AX104" s="192">
        <f t="shared" si="8"/>
      </c>
      <c r="AY104" s="537">
        <f t="shared" si="8"/>
      </c>
    </row>
    <row r="105" spans="1:51" ht="15.75" customHeight="1">
      <c r="A105" s="184"/>
      <c r="B105" s="160" t="s">
        <v>34</v>
      </c>
      <c r="C105" s="4" t="s">
        <v>261</v>
      </c>
      <c r="D105" s="4"/>
      <c r="E105" s="4"/>
      <c r="F105" s="4"/>
      <c r="G105" s="5">
        <v>2</v>
      </c>
      <c r="H105" s="5">
        <f t="shared" si="9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  <c r="AW105" s="192">
        <f t="shared" si="8"/>
      </c>
      <c r="AX105" s="192">
        <f t="shared" si="8"/>
      </c>
      <c r="AY105" s="537">
        <f t="shared" si="8"/>
      </c>
    </row>
    <row r="106" spans="1:52" ht="15.75" customHeight="1">
      <c r="A106" s="184" t="s">
        <v>240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9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  <c r="AW106" s="192" t="s">
        <v>335</v>
      </c>
      <c r="AX106" s="192">
        <f t="shared" si="8"/>
      </c>
      <c r="AY106" s="537">
        <f t="shared" si="8"/>
      </c>
      <c r="AZ106" s="192" t="s">
        <v>337</v>
      </c>
    </row>
    <row r="107" spans="1:51" ht="15.75" customHeight="1">
      <c r="A107" s="645"/>
      <c r="B107" s="160" t="s">
        <v>294</v>
      </c>
      <c r="C107" s="4"/>
      <c r="D107" s="4"/>
      <c r="E107" s="4"/>
      <c r="F107" s="4"/>
      <c r="G107" s="5">
        <v>0.5</v>
      </c>
      <c r="H107" s="5">
        <f t="shared" si="9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  <c r="AW107" s="192">
        <f t="shared" si="8"/>
      </c>
      <c r="AX107" s="192">
        <f t="shared" si="8"/>
      </c>
      <c r="AY107" s="537">
        <f t="shared" si="8"/>
      </c>
    </row>
    <row r="108" spans="1:50" ht="15.75" customHeight="1">
      <c r="A108" s="646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9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64"/>
      <c r="X108" s="64"/>
      <c r="Y108" s="4"/>
      <c r="Z108" s="27"/>
      <c r="AA108" s="31"/>
      <c r="AB108" s="4"/>
      <c r="AC108" s="32"/>
      <c r="AX108" s="192"/>
    </row>
    <row r="109" spans="1:50" ht="15.75" customHeight="1">
      <c r="A109" s="646"/>
      <c r="B109" s="160" t="s">
        <v>34</v>
      </c>
      <c r="C109" s="4"/>
      <c r="D109" s="4" t="s">
        <v>258</v>
      </c>
      <c r="E109" s="4"/>
      <c r="F109" s="4"/>
      <c r="G109" s="5">
        <v>2</v>
      </c>
      <c r="H109" s="5">
        <f t="shared" si="9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64"/>
      <c r="X109" s="64"/>
      <c r="Y109" s="4"/>
      <c r="Z109" s="27"/>
      <c r="AA109" s="31"/>
      <c r="AB109" s="4"/>
      <c r="AC109" s="32"/>
      <c r="AX109" s="192"/>
    </row>
    <row r="110" spans="1:50" ht="15.75" customHeight="1">
      <c r="A110" s="516"/>
      <c r="B110" s="160" t="s">
        <v>34</v>
      </c>
      <c r="C110" s="4" t="s">
        <v>259</v>
      </c>
      <c r="D110" s="4"/>
      <c r="E110" s="4"/>
      <c r="F110" s="4"/>
      <c r="G110" s="5">
        <v>2</v>
      </c>
      <c r="H110" s="5">
        <f t="shared" si="9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64"/>
      <c r="X110" s="64"/>
      <c r="Y110" s="4"/>
      <c r="Z110" s="27"/>
      <c r="AA110" s="31"/>
      <c r="AB110" s="4"/>
      <c r="AC110" s="32"/>
      <c r="AX110" s="192"/>
    </row>
    <row r="111" spans="1:52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9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82" t="e">
        <f>$G111/#REF!</f>
        <v>#REF!</v>
      </c>
      <c r="X111" s="64"/>
      <c r="Y111" s="4"/>
      <c r="Z111" s="27"/>
      <c r="AA111" s="31"/>
      <c r="AB111" s="4"/>
      <c r="AC111" s="32"/>
      <c r="AE111" s="2">
        <f>G111</f>
        <v>1</v>
      </c>
      <c r="AW111" s="192">
        <f t="shared" si="8"/>
      </c>
      <c r="AX111" s="192">
        <f t="shared" si="8"/>
      </c>
      <c r="AY111" s="537">
        <f t="shared" si="8"/>
      </c>
      <c r="AZ111" s="192" t="s">
        <v>337</v>
      </c>
    </row>
    <row r="112" spans="1:51" ht="15.75" customHeight="1">
      <c r="A112" s="184" t="s">
        <v>285</v>
      </c>
      <c r="B112" s="160" t="s">
        <v>342</v>
      </c>
      <c r="C112" s="4"/>
      <c r="D112" s="4"/>
      <c r="E112" s="4"/>
      <c r="F112" s="4"/>
      <c r="G112" s="5">
        <f>SUM(G113:G115)</f>
        <v>6</v>
      </c>
      <c r="H112" s="5">
        <f t="shared" si="9"/>
        <v>180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  <c r="AW112" s="192">
        <f t="shared" si="8"/>
      </c>
      <c r="AX112" s="192">
        <f t="shared" si="8"/>
      </c>
      <c r="AY112" s="537">
        <f t="shared" si="8"/>
      </c>
    </row>
    <row r="113" spans="1:51" ht="15.75" customHeight="1">
      <c r="A113" s="184"/>
      <c r="B113" s="160" t="s">
        <v>294</v>
      </c>
      <c r="C113" s="4"/>
      <c r="D113" s="4"/>
      <c r="E113" s="4"/>
      <c r="F113" s="4"/>
      <c r="G113" s="5">
        <v>1</v>
      </c>
      <c r="H113" s="5">
        <f t="shared" si="9"/>
        <v>30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  <c r="AW113" s="192">
        <f t="shared" si="8"/>
      </c>
      <c r="AX113" s="192">
        <f t="shared" si="8"/>
      </c>
      <c r="AY113" s="537">
        <f t="shared" si="8"/>
      </c>
    </row>
    <row r="114" spans="1:50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2.5</v>
      </c>
      <c r="H114" s="5">
        <f t="shared" si="9"/>
        <v>75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45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  <c r="AX114" s="192"/>
    </row>
    <row r="115" spans="1:51" ht="15.75" customHeight="1">
      <c r="A115" s="184"/>
      <c r="B115" s="160" t="s">
        <v>34</v>
      </c>
      <c r="C115" s="4" t="s">
        <v>343</v>
      </c>
      <c r="D115" s="4"/>
      <c r="E115" s="4"/>
      <c r="F115" s="4"/>
      <c r="G115" s="5">
        <v>2.5</v>
      </c>
      <c r="H115" s="5">
        <f t="shared" si="9"/>
        <v>75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39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  <c r="AW115" s="192">
        <f t="shared" si="8"/>
      </c>
      <c r="AX115" s="192">
        <f t="shared" si="8"/>
      </c>
      <c r="AY115" s="537">
        <f t="shared" si="8"/>
      </c>
    </row>
    <row r="116" spans="1:51" ht="15.75" customHeight="1">
      <c r="A116" s="184" t="s">
        <v>285</v>
      </c>
      <c r="B116" s="70" t="s">
        <v>390</v>
      </c>
      <c r="C116" s="4"/>
      <c r="D116" s="4"/>
      <c r="E116" s="4"/>
      <c r="F116" s="4"/>
      <c r="G116" s="5">
        <v>6.5</v>
      </c>
      <c r="H116" s="5">
        <f t="shared" si="9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  <c r="AW116" s="192">
        <f t="shared" si="8"/>
      </c>
      <c r="AX116" s="192">
        <f t="shared" si="8"/>
      </c>
      <c r="AY116" s="537">
        <f t="shared" si="8"/>
      </c>
    </row>
    <row r="117" spans="1:51" ht="15.75" customHeight="1">
      <c r="A117" s="184"/>
      <c r="B117" s="160" t="s">
        <v>294</v>
      </c>
      <c r="C117" s="4"/>
      <c r="D117" s="4"/>
      <c r="E117" s="4"/>
      <c r="F117" s="4"/>
      <c r="G117" s="5">
        <v>2</v>
      </c>
      <c r="H117" s="5">
        <f t="shared" si="9"/>
        <v>60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  <c r="AW117" s="192">
        <f t="shared" si="8"/>
      </c>
      <c r="AX117" s="192">
        <f t="shared" si="8"/>
      </c>
      <c r="AY117" s="537">
        <f t="shared" si="8"/>
      </c>
    </row>
    <row r="118" spans="1:50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9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32"/>
      <c r="AX118" s="192"/>
    </row>
    <row r="119" spans="1:51" ht="15.75" customHeight="1">
      <c r="A119" s="184"/>
      <c r="B119" s="160" t="s">
        <v>34</v>
      </c>
      <c r="C119" s="4" t="s">
        <v>349</v>
      </c>
      <c r="D119" s="4"/>
      <c r="E119" s="4"/>
      <c r="F119" s="4"/>
      <c r="G119" s="5">
        <v>2.5</v>
      </c>
      <c r="H119" s="5">
        <f t="shared" si="9"/>
        <v>75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30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 t="e">
        <f>$G119/#REF!</f>
        <v>#REF!</v>
      </c>
      <c r="AE119" s="2">
        <f>G119</f>
        <v>2.5</v>
      </c>
      <c r="AW119" s="192">
        <f t="shared" si="8"/>
      </c>
      <c r="AX119" s="192">
        <f t="shared" si="8"/>
      </c>
      <c r="AY119" s="537">
        <f t="shared" si="8"/>
      </c>
    </row>
    <row r="120" spans="1:51" ht="15.75" customHeight="1">
      <c r="A120" s="184" t="s">
        <v>284</v>
      </c>
      <c r="B120" s="70" t="s">
        <v>391</v>
      </c>
      <c r="C120" s="4"/>
      <c r="D120" s="4"/>
      <c r="E120" s="4"/>
      <c r="F120" s="4"/>
      <c r="G120" s="5">
        <v>3</v>
      </c>
      <c r="H120" s="5">
        <f t="shared" si="9"/>
        <v>90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  <c r="AW120" s="192">
        <f t="shared" si="8"/>
      </c>
      <c r="AX120" s="192">
        <f t="shared" si="8"/>
      </c>
      <c r="AY120" s="537">
        <f t="shared" si="8"/>
      </c>
    </row>
    <row r="121" spans="1:51" ht="15.75" customHeight="1">
      <c r="A121" s="183"/>
      <c r="B121" s="160" t="s">
        <v>294</v>
      </c>
      <c r="C121" s="4"/>
      <c r="D121" s="4"/>
      <c r="E121" s="4"/>
      <c r="F121" s="4"/>
      <c r="G121" s="5">
        <v>1</v>
      </c>
      <c r="H121" s="5">
        <f t="shared" si="9"/>
        <v>30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  <c r="AW121" s="192">
        <f t="shared" si="8"/>
      </c>
      <c r="AX121" s="192">
        <f t="shared" si="8"/>
      </c>
      <c r="AY121" s="537">
        <f t="shared" si="8"/>
      </c>
    </row>
    <row r="122" spans="1:51" ht="15.75" customHeight="1">
      <c r="A122" s="184"/>
      <c r="B122" s="160" t="s">
        <v>34</v>
      </c>
      <c r="C122" s="4"/>
      <c r="D122" s="4" t="s">
        <v>260</v>
      </c>
      <c r="E122" s="4"/>
      <c r="F122" s="4"/>
      <c r="G122" s="5">
        <v>2</v>
      </c>
      <c r="H122" s="5">
        <f t="shared" si="9"/>
        <v>60</v>
      </c>
      <c r="I122" s="4">
        <f>SUMPRODUCT(N122:V122,$N$7:$V$7)</f>
        <v>36</v>
      </c>
      <c r="J122" s="4">
        <v>18</v>
      </c>
      <c r="K122" s="4">
        <v>18</v>
      </c>
      <c r="L122" s="4"/>
      <c r="M122" s="27">
        <f>H122-I122</f>
        <v>24</v>
      </c>
      <c r="N122" s="31"/>
      <c r="O122" s="4"/>
      <c r="P122" s="27"/>
      <c r="Q122" s="31"/>
      <c r="R122" s="4">
        <v>4</v>
      </c>
      <c r="S122" s="32"/>
      <c r="T122" s="31"/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2</v>
      </c>
      <c r="AW122" s="192">
        <f t="shared" si="8"/>
      </c>
      <c r="AX122" s="192">
        <f t="shared" si="8"/>
      </c>
      <c r="AY122" s="537">
        <f t="shared" si="8"/>
      </c>
    </row>
    <row r="123" spans="1:51" ht="15.75" customHeight="1">
      <c r="A123" s="184" t="s">
        <v>286</v>
      </c>
      <c r="B123" s="70" t="s">
        <v>78</v>
      </c>
      <c r="C123" s="4"/>
      <c r="D123" s="4"/>
      <c r="E123" s="4"/>
      <c r="F123" s="4"/>
      <c r="G123" s="5">
        <f>G124+G125</f>
        <v>4</v>
      </c>
      <c r="H123" s="5">
        <f t="shared" si="9"/>
        <v>120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  <c r="AW123" s="192">
        <f aca="true" t="shared" si="14" ref="AW123:AW128">IF(ISBLANK(N123)=FALSE,"так","")</f>
      </c>
      <c r="AX123" s="192">
        <f aca="true" t="shared" si="15" ref="AX123:AX128">IF(ISBLANK(O123)=FALSE,"так","")</f>
      </c>
      <c r="AY123" s="537">
        <f aca="true" t="shared" si="16" ref="AY123:AY128">IF(ISBLANK(P123)=FALSE,"так","")</f>
      </c>
    </row>
    <row r="124" spans="1:51" ht="15.75" customHeight="1">
      <c r="A124" s="183"/>
      <c r="B124" s="160" t="s">
        <v>294</v>
      </c>
      <c r="C124" s="4"/>
      <c r="D124" s="4"/>
      <c r="E124" s="4"/>
      <c r="F124" s="4"/>
      <c r="G124" s="5">
        <v>1.5</v>
      </c>
      <c r="H124" s="5">
        <f t="shared" si="9"/>
        <v>45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0</v>
      </c>
      <c r="AW124" s="192">
        <f t="shared" si="14"/>
      </c>
      <c r="AX124" s="192">
        <f t="shared" si="15"/>
      </c>
      <c r="AY124" s="537">
        <f t="shared" si="16"/>
      </c>
    </row>
    <row r="125" spans="1:51" ht="15.75" customHeight="1">
      <c r="A125" s="184"/>
      <c r="B125" s="160" t="s">
        <v>34</v>
      </c>
      <c r="C125" s="4">
        <v>5</v>
      </c>
      <c r="D125" s="4"/>
      <c r="E125" s="4"/>
      <c r="F125" s="4"/>
      <c r="G125" s="5">
        <v>2.5</v>
      </c>
      <c r="H125" s="5">
        <f t="shared" si="9"/>
        <v>75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30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0</v>
      </c>
      <c r="AE125" s="2">
        <f>G125</f>
        <v>2.5</v>
      </c>
      <c r="AW125" s="192">
        <f t="shared" si="14"/>
      </c>
      <c r="AX125" s="192">
        <f t="shared" si="15"/>
      </c>
      <c r="AY125" s="537">
        <f t="shared" si="16"/>
      </c>
    </row>
    <row r="126" spans="1:51" ht="15.75" customHeight="1">
      <c r="A126" s="184" t="s">
        <v>392</v>
      </c>
      <c r="B126" s="6" t="s">
        <v>393</v>
      </c>
      <c r="C126" s="4"/>
      <c r="D126" s="4"/>
      <c r="E126" s="4"/>
      <c r="F126" s="4"/>
      <c r="G126" s="5">
        <v>6</v>
      </c>
      <c r="H126" s="5">
        <f t="shared" si="9"/>
        <v>180</v>
      </c>
      <c r="I126" s="26"/>
      <c r="J126" s="26"/>
      <c r="K126" s="26"/>
      <c r="L126" s="26"/>
      <c r="M126" s="41"/>
      <c r="N126" s="31"/>
      <c r="O126" s="4"/>
      <c r="P126" s="27"/>
      <c r="Q126" s="31"/>
      <c r="R126" s="4"/>
      <c r="S126" s="32"/>
      <c r="T126" s="31"/>
      <c r="U126" s="4"/>
      <c r="V126" s="32"/>
      <c r="W126" s="31"/>
      <c r="X126" s="64"/>
      <c r="Y126" s="4"/>
      <c r="Z126" s="27"/>
      <c r="AA126" s="31"/>
      <c r="AB126" s="4"/>
      <c r="AC126" s="32"/>
      <c r="AW126" s="192">
        <f t="shared" si="14"/>
      </c>
      <c r="AX126" s="192">
        <f t="shared" si="15"/>
      </c>
      <c r="AY126" s="537">
        <f t="shared" si="16"/>
      </c>
    </row>
    <row r="127" spans="1:51" ht="15.75" customHeight="1">
      <c r="A127" s="183"/>
      <c r="B127" s="160" t="s">
        <v>294</v>
      </c>
      <c r="C127" s="4"/>
      <c r="D127" s="4"/>
      <c r="E127" s="4"/>
      <c r="F127" s="4"/>
      <c r="G127" s="5">
        <v>2</v>
      </c>
      <c r="H127" s="5">
        <f t="shared" si="9"/>
        <v>60</v>
      </c>
      <c r="I127" s="4"/>
      <c r="J127" s="4"/>
      <c r="K127" s="4"/>
      <c r="L127" s="4"/>
      <c r="M127" s="27"/>
      <c r="N127" s="31"/>
      <c r="O127" s="4"/>
      <c r="P127" s="27"/>
      <c r="Q127" s="31"/>
      <c r="R127" s="4"/>
      <c r="S127" s="32"/>
      <c r="T127" s="31"/>
      <c r="U127" s="4"/>
      <c r="V127" s="32"/>
      <c r="W127" s="31"/>
      <c r="X127" s="64"/>
      <c r="Y127" s="4"/>
      <c r="Z127" s="27"/>
      <c r="AA127" s="31"/>
      <c r="AB127" s="4"/>
      <c r="AC127" s="32"/>
      <c r="AD127" s="2">
        <f>30*G135</f>
        <v>0</v>
      </c>
      <c r="AW127" s="192">
        <f t="shared" si="14"/>
      </c>
      <c r="AX127" s="192">
        <f t="shared" si="15"/>
      </c>
      <c r="AY127" s="537">
        <f t="shared" si="16"/>
      </c>
    </row>
    <row r="128" spans="1:51" ht="15.75" customHeight="1" thickBot="1">
      <c r="A128" s="184"/>
      <c r="B128" s="160" t="s">
        <v>34</v>
      </c>
      <c r="C128" s="4">
        <v>5</v>
      </c>
      <c r="D128" s="4"/>
      <c r="E128" s="4"/>
      <c r="F128" s="4"/>
      <c r="G128" s="5">
        <v>4</v>
      </c>
      <c r="H128" s="5">
        <f t="shared" si="9"/>
        <v>120</v>
      </c>
      <c r="I128" s="4">
        <f>SUMPRODUCT(N128:V128,$N$7:$V$7)</f>
        <v>60</v>
      </c>
      <c r="J128" s="4">
        <v>30</v>
      </c>
      <c r="K128" s="4">
        <v>30</v>
      </c>
      <c r="L128" s="4"/>
      <c r="M128" s="27">
        <f>H128-I128</f>
        <v>60</v>
      </c>
      <c r="N128" s="31"/>
      <c r="O128" s="4"/>
      <c r="P128" s="27"/>
      <c r="Q128" s="31"/>
      <c r="R128" s="4"/>
      <c r="S128" s="32"/>
      <c r="T128" s="31">
        <v>4</v>
      </c>
      <c r="U128" s="4"/>
      <c r="V128" s="32"/>
      <c r="W128" s="31"/>
      <c r="X128" s="64"/>
      <c r="Y128" s="4"/>
      <c r="Z128" s="27"/>
      <c r="AA128" s="31" t="e">
        <f>$G128/#REF!</f>
        <v>#REF!</v>
      </c>
      <c r="AB128" s="4"/>
      <c r="AC128" s="32"/>
      <c r="AD128" s="2">
        <f>30*G136</f>
        <v>0</v>
      </c>
      <c r="AE128" s="2">
        <f>G128</f>
        <v>4</v>
      </c>
      <c r="AW128" s="192">
        <f t="shared" si="14"/>
      </c>
      <c r="AX128" s="192">
        <f t="shared" si="15"/>
      </c>
      <c r="AY128" s="537">
        <f t="shared" si="16"/>
      </c>
    </row>
    <row r="129" spans="1:51" ht="15.75" customHeight="1" hidden="1">
      <c r="A129" s="184"/>
      <c r="B129" s="160"/>
      <c r="C129" s="4"/>
      <c r="D129" s="4"/>
      <c r="E129" s="4"/>
      <c r="F129" s="4"/>
      <c r="G129" s="5"/>
      <c r="H129" s="5"/>
      <c r="I129" s="26"/>
      <c r="J129" s="26"/>
      <c r="K129" s="26"/>
      <c r="L129" s="26"/>
      <c r="M129" s="41"/>
      <c r="N129" s="31"/>
      <c r="O129" s="4"/>
      <c r="P129" s="27"/>
      <c r="Q129" s="31"/>
      <c r="R129" s="4"/>
      <c r="S129" s="32"/>
      <c r="T129" s="31"/>
      <c r="U129" s="4"/>
      <c r="V129" s="32"/>
      <c r="W129" s="31"/>
      <c r="X129" s="64"/>
      <c r="Y129" s="4"/>
      <c r="Z129" s="27"/>
      <c r="AA129" s="31"/>
      <c r="AB129" s="4"/>
      <c r="AC129" s="32"/>
      <c r="AW129" s="192">
        <f t="shared" si="8"/>
      </c>
      <c r="AX129" s="192">
        <f t="shared" si="8"/>
      </c>
      <c r="AY129" s="537">
        <f t="shared" si="8"/>
      </c>
    </row>
    <row r="130" spans="1:51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31"/>
      <c r="X130" s="64"/>
      <c r="Y130" s="4"/>
      <c r="Z130" s="27"/>
      <c r="AA130" s="31"/>
      <c r="AB130" s="4"/>
      <c r="AC130" s="32"/>
      <c r="AD130" s="2">
        <f>30*G138</f>
        <v>2820</v>
      </c>
      <c r="AW130" s="192">
        <f t="shared" si="8"/>
      </c>
      <c r="AX130" s="192">
        <f t="shared" si="8"/>
      </c>
      <c r="AY130" s="537">
        <f t="shared" si="8"/>
      </c>
    </row>
    <row r="131" spans="1:51" ht="15.75" customHeight="1" hidden="1">
      <c r="A131" s="184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31"/>
      <c r="X131" s="64"/>
      <c r="Y131" s="4"/>
      <c r="Z131" s="27"/>
      <c r="AA131" s="31" t="e">
        <f>$G131/#REF!</f>
        <v>#REF!</v>
      </c>
      <c r="AB131" s="4"/>
      <c r="AC131" s="32"/>
      <c r="AD131" s="2">
        <f>30*G139</f>
        <v>855</v>
      </c>
      <c r="AE131" s="2">
        <f>G131</f>
        <v>0</v>
      </c>
      <c r="AW131" s="192">
        <f t="shared" si="8"/>
      </c>
      <c r="AX131" s="192">
        <f t="shared" si="8"/>
      </c>
      <c r="AY131" s="537">
        <f t="shared" si="8"/>
      </c>
    </row>
    <row r="132" spans="1:52" ht="15.75" customHeight="1" hidden="1">
      <c r="A132" s="183"/>
      <c r="B132" s="6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32"/>
      <c r="N132" s="31"/>
      <c r="O132" s="4"/>
      <c r="P132" s="32"/>
      <c r="Q132" s="31"/>
      <c r="R132" s="4"/>
      <c r="S132" s="32"/>
      <c r="T132" s="31"/>
      <c r="U132" s="4"/>
      <c r="V132" s="32"/>
      <c r="W132" s="56"/>
      <c r="X132" s="63"/>
      <c r="Y132" s="49"/>
      <c r="Z132" s="57"/>
      <c r="AA132" s="56"/>
      <c r="AB132" s="49"/>
      <c r="AC132" s="356"/>
      <c r="AW132" s="192" t="s">
        <v>335</v>
      </c>
      <c r="AX132" s="192">
        <f t="shared" si="8"/>
      </c>
      <c r="AY132" s="537">
        <f t="shared" si="8"/>
      </c>
      <c r="AZ132" s="192" t="s">
        <v>337</v>
      </c>
    </row>
    <row r="133" spans="1:51" ht="15.75" customHeight="1" hidden="1">
      <c r="A133" s="183"/>
      <c r="B133" s="160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32"/>
      <c r="N133" s="31"/>
      <c r="O133" s="4"/>
      <c r="P133" s="32"/>
      <c r="Q133" s="31"/>
      <c r="R133" s="4"/>
      <c r="S133" s="32"/>
      <c r="T133" s="31"/>
      <c r="U133" s="4"/>
      <c r="V133" s="32"/>
      <c r="W133" s="56"/>
      <c r="X133" s="63"/>
      <c r="Y133" s="49"/>
      <c r="Z133" s="57"/>
      <c r="AA133" s="56"/>
      <c r="AB133" s="49"/>
      <c r="AC133" s="356"/>
      <c r="AW133" s="192">
        <f t="shared" si="8"/>
      </c>
      <c r="AX133" s="192">
        <f t="shared" si="8"/>
      </c>
      <c r="AY133" s="537">
        <f t="shared" si="8"/>
      </c>
    </row>
    <row r="134" spans="1:52" ht="15.75" customHeight="1" hidden="1">
      <c r="A134" s="183"/>
      <c r="B134" s="160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32"/>
      <c r="N134" s="31"/>
      <c r="O134" s="4"/>
      <c r="P134" s="32"/>
      <c r="Q134" s="31"/>
      <c r="R134" s="4"/>
      <c r="S134" s="32"/>
      <c r="T134" s="31"/>
      <c r="U134" s="4"/>
      <c r="V134" s="32"/>
      <c r="W134" s="56"/>
      <c r="X134" s="63"/>
      <c r="Y134" s="49"/>
      <c r="Z134" s="57"/>
      <c r="AA134" s="56"/>
      <c r="AB134" s="49"/>
      <c r="AC134" s="356"/>
      <c r="AW134" s="192">
        <f t="shared" si="8"/>
      </c>
      <c r="AX134" s="192">
        <f t="shared" si="8"/>
      </c>
      <c r="AY134" s="537">
        <f t="shared" si="8"/>
      </c>
      <c r="AZ134" s="192" t="s">
        <v>337</v>
      </c>
    </row>
    <row r="135" spans="1:52" ht="15.75" customHeight="1" hidden="1">
      <c r="A135" s="183"/>
      <c r="B135" s="160"/>
      <c r="C135" s="4"/>
      <c r="D135" s="4"/>
      <c r="E135" s="4"/>
      <c r="F135" s="4"/>
      <c r="G135" s="5"/>
      <c r="H135" s="5"/>
      <c r="I135" s="4"/>
      <c r="J135" s="4"/>
      <c r="K135" s="4"/>
      <c r="L135" s="4"/>
      <c r="M135" s="27"/>
      <c r="N135" s="31"/>
      <c r="O135" s="4"/>
      <c r="P135" s="27"/>
      <c r="Q135" s="31"/>
      <c r="R135" s="4"/>
      <c r="S135" s="32"/>
      <c r="T135" s="31"/>
      <c r="U135" s="4"/>
      <c r="V135" s="32"/>
      <c r="W135" s="56"/>
      <c r="X135" s="63"/>
      <c r="Y135" s="49"/>
      <c r="Z135" s="57"/>
      <c r="AA135" s="56"/>
      <c r="AB135" s="49"/>
      <c r="AC135" s="356"/>
      <c r="AW135" s="192">
        <f t="shared" si="8"/>
      </c>
      <c r="AX135" s="192">
        <f t="shared" si="8"/>
      </c>
      <c r="AY135" s="537" t="s">
        <v>335</v>
      </c>
      <c r="AZ135" s="192" t="s">
        <v>338</v>
      </c>
    </row>
    <row r="136" spans="1:51" ht="15.75" customHeight="1" hidden="1">
      <c r="A136" s="183"/>
      <c r="B136" s="160"/>
      <c r="C136" s="4"/>
      <c r="D136" s="4"/>
      <c r="E136" s="4"/>
      <c r="F136" s="4"/>
      <c r="G136" s="5"/>
      <c r="H136" s="5"/>
      <c r="I136" s="4"/>
      <c r="J136" s="4"/>
      <c r="K136" s="4"/>
      <c r="L136" s="4"/>
      <c r="M136" s="27"/>
      <c r="N136" s="31"/>
      <c r="O136" s="4"/>
      <c r="P136" s="27"/>
      <c r="Q136" s="31"/>
      <c r="R136" s="4"/>
      <c r="S136" s="32"/>
      <c r="T136" s="31"/>
      <c r="U136" s="4"/>
      <c r="V136" s="32"/>
      <c r="W136" s="56"/>
      <c r="X136" s="63"/>
      <c r="Y136" s="49"/>
      <c r="Z136" s="57"/>
      <c r="AA136" s="56"/>
      <c r="AB136" s="49"/>
      <c r="AC136" s="356"/>
      <c r="AW136" s="192">
        <f t="shared" si="8"/>
      </c>
      <c r="AX136" s="192">
        <f t="shared" si="8"/>
      </c>
      <c r="AY136" s="537">
        <f t="shared" si="8"/>
      </c>
    </row>
    <row r="137" spans="1:52" ht="16.5" customHeight="1" hidden="1" thickBot="1">
      <c r="A137" s="183"/>
      <c r="B137" s="160"/>
      <c r="C137" s="4"/>
      <c r="D137" s="4"/>
      <c r="E137" s="4"/>
      <c r="F137" s="4"/>
      <c r="G137" s="5"/>
      <c r="H137" s="5"/>
      <c r="I137" s="4"/>
      <c r="J137" s="4"/>
      <c r="K137" s="4"/>
      <c r="L137" s="4"/>
      <c r="M137" s="27"/>
      <c r="N137" s="31"/>
      <c r="O137" s="4"/>
      <c r="P137" s="27"/>
      <c r="Q137" s="31"/>
      <c r="R137" s="4"/>
      <c r="S137" s="32"/>
      <c r="T137" s="31"/>
      <c r="U137" s="4"/>
      <c r="V137" s="32"/>
      <c r="W137" s="56"/>
      <c r="X137" s="63"/>
      <c r="Y137" s="49"/>
      <c r="Z137" s="57"/>
      <c r="AA137" s="56"/>
      <c r="AB137" s="49"/>
      <c r="AC137" s="356"/>
      <c r="AW137" s="192">
        <f t="shared" si="8"/>
      </c>
      <c r="AX137" s="192">
        <f t="shared" si="8"/>
      </c>
      <c r="AY137" s="537">
        <f t="shared" si="8"/>
      </c>
      <c r="AZ137" s="192" t="s">
        <v>338</v>
      </c>
    </row>
    <row r="138" spans="1:30" ht="17.25" customHeight="1" thickBot="1">
      <c r="A138" s="838" t="s">
        <v>4</v>
      </c>
      <c r="B138" s="839"/>
      <c r="C138" s="8"/>
      <c r="D138" s="8"/>
      <c r="E138" s="8"/>
      <c r="F138" s="8"/>
      <c r="G138" s="8">
        <f>SUM(G63,G66,G69,G72:G74,G76:G77,G80,G85,G88,G92,G98,G101,G106,G112,G116,G120,G123,G126,G129,G132,G135)</f>
        <v>94</v>
      </c>
      <c r="H138" s="8">
        <f>SUM(H63,H66,H69,H72:H73,H76:H77,H80,H85,H88,H92,H98,H101,H106,H112,H116,H120,H129,H132,H135)</f>
        <v>2520</v>
      </c>
      <c r="I138" s="8"/>
      <c r="J138" s="8"/>
      <c r="K138" s="8"/>
      <c r="L138" s="8"/>
      <c r="M138" s="8"/>
      <c r="N138" s="33"/>
      <c r="O138" s="8"/>
      <c r="P138" s="30"/>
      <c r="Q138" s="33"/>
      <c r="R138" s="8"/>
      <c r="S138" s="34"/>
      <c r="T138" s="33"/>
      <c r="U138" s="8"/>
      <c r="V138" s="34"/>
      <c r="W138" s="33"/>
      <c r="X138" s="67"/>
      <c r="Y138" s="8"/>
      <c r="Z138" s="30"/>
      <c r="AA138" s="33"/>
      <c r="AB138" s="8"/>
      <c r="AC138" s="34"/>
      <c r="AD138" s="2">
        <f>30*G140</f>
        <v>1965</v>
      </c>
    </row>
    <row r="139" spans="1:31" ht="15" customHeight="1" thickBot="1">
      <c r="A139" s="838" t="s">
        <v>295</v>
      </c>
      <c r="B139" s="839"/>
      <c r="C139" s="8"/>
      <c r="D139" s="8"/>
      <c r="E139" s="8"/>
      <c r="F139" s="8"/>
      <c r="G139" s="8">
        <f>SUM(G64,G67,G70,G72,G74,G78,G81,G86,G89,G93,G99,G102,G104,G107,G113,G117,G121,G124,G127,G130,G133,G136)</f>
        <v>28.5</v>
      </c>
      <c r="H139" s="8">
        <f>SUM(H64,H67,H70,H72,H74,H78,H81,H86,H89,H93,H99,H102,H104,H107,H113,H117,H121,H130,H133,H136)</f>
        <v>750</v>
      </c>
      <c r="I139" s="8"/>
      <c r="J139" s="8"/>
      <c r="K139" s="8"/>
      <c r="L139" s="8"/>
      <c r="M139" s="8"/>
      <c r="N139" s="33"/>
      <c r="O139" s="8"/>
      <c r="P139" s="30"/>
      <c r="Q139" s="33"/>
      <c r="R139" s="8"/>
      <c r="S139" s="34"/>
      <c r="T139" s="33"/>
      <c r="U139" s="8"/>
      <c r="V139" s="34"/>
      <c r="W139" s="33"/>
      <c r="X139" s="67"/>
      <c r="Y139" s="8"/>
      <c r="Z139" s="30"/>
      <c r="AA139" s="33"/>
      <c r="AB139" s="8"/>
      <c r="AC139" s="34"/>
      <c r="AD139" s="2" t="s">
        <v>107</v>
      </c>
      <c r="AE139" s="2">
        <f>SUMIF(C63:C131,"1",AE63:AE131)+SUMIF(C63:C131,"2а",AE63:AE131)+SUMIF(C63:C131,"2б",AE63:AE131)+SUMIF(D63:D131,"1",AE63:AE131)+SUMIF(D63:D131,"2а",AE63:AE131)+SUMIF(D63:D131,"2б",AE63:AE131)+SUMIF(F63:F131,"1",AE63:AE131)+SUMIF(F63:F131,"2а",AE63:AE131)+SUMIF(F63:F131,"2б",AE63:AE131)</f>
        <v>0</v>
      </c>
    </row>
    <row r="140" spans="1:38" ht="15" customHeight="1" thickBot="1">
      <c r="A140" s="838" t="s">
        <v>72</v>
      </c>
      <c r="B140" s="839"/>
      <c r="C140" s="8"/>
      <c r="D140" s="8"/>
      <c r="E140" s="8"/>
      <c r="F140" s="8"/>
      <c r="G140" s="8">
        <f>SUM(G65,G68,G71,G75,G76,G79,G82:G84,G87,G90:G91,G94:G97,G100,G105,G108:G111,G114:G115,G118:G119,G122,G125,G128,G131,G134,G137)</f>
        <v>65.5</v>
      </c>
      <c r="H140" s="8">
        <f>SUM(H65,H68,H71,H75,H76,H79,H82:H84,H87,H90:H91,H94:H97,H100,H105,H111,H115,H119,H122,H131,H134,H137)</f>
        <v>1410</v>
      </c>
      <c r="I140" s="8">
        <f>SUM(I63,I68,I71,I82:I84,I87,I90:I91,I94:I97,I100,I105,I111:I112,I119,I122,I131,I137)</f>
        <v>543</v>
      </c>
      <c r="J140" s="8">
        <f>SUM(J63,J68,J71,J82:J84,J87,J90:J91,J94:J97,J100,J105,J111:J112,J119,J122,J131,J137)</f>
        <v>275</v>
      </c>
      <c r="K140" s="8">
        <f>SUM(K63,K68,K71,K82:K84,K87,K90:K91,K94:K97,K100,K105,K111:K112,K119,K122,K131,K137)</f>
        <v>202</v>
      </c>
      <c r="L140" s="8">
        <f>SUM(L63,L68,L71,L82:L84,L87,L90:L91,L94:L97,L100,L105,L111:L112,L119,L122,L131,L137)</f>
        <v>66</v>
      </c>
      <c r="M140" s="8">
        <f>SUM(M63,M68,M71,M82:M84,M87,M90:M91,M94:M97,M100,M105,M111:M112,M119,M122,M131,M137)</f>
        <v>522</v>
      </c>
      <c r="N140" s="33">
        <f aca="true" t="shared" si="17" ref="N140:V140">SUM(N63:N137)</f>
        <v>3</v>
      </c>
      <c r="O140" s="33">
        <f t="shared" si="17"/>
        <v>7</v>
      </c>
      <c r="P140" s="33">
        <f t="shared" si="17"/>
        <v>8</v>
      </c>
      <c r="Q140" s="33">
        <f>SUM(Q63:Q137)</f>
        <v>10</v>
      </c>
      <c r="R140" s="33">
        <f>SUM(R63:R137)</f>
        <v>15</v>
      </c>
      <c r="S140" s="33">
        <f>SUM(S63:S137)</f>
        <v>17</v>
      </c>
      <c r="T140" s="33">
        <f t="shared" si="17"/>
        <v>19</v>
      </c>
      <c r="U140" s="33">
        <f t="shared" si="17"/>
        <v>7</v>
      </c>
      <c r="V140" s="33">
        <f t="shared" si="17"/>
        <v>0</v>
      </c>
      <c r="W140" s="83" t="e">
        <f aca="true" t="shared" si="18" ref="W140:AC140">SUM(W63:W131)</f>
        <v>#REF!</v>
      </c>
      <c r="X140" s="83">
        <f t="shared" si="18"/>
        <v>0</v>
      </c>
      <c r="Y140" s="83" t="e">
        <f t="shared" si="18"/>
        <v>#REF!</v>
      </c>
      <c r="Z140" s="83" t="e">
        <f t="shared" si="18"/>
        <v>#REF!</v>
      </c>
      <c r="AA140" s="83" t="e">
        <f t="shared" si="18"/>
        <v>#REF!</v>
      </c>
      <c r="AB140" s="83" t="e">
        <f t="shared" si="18"/>
        <v>#REF!</v>
      </c>
      <c r="AC140" s="94" t="e">
        <f t="shared" si="18"/>
        <v>#REF!</v>
      </c>
      <c r="AD140" s="2" t="s">
        <v>108</v>
      </c>
      <c r="AE140" s="2">
        <f>SUMIF(C63:C131,"3",AE63:AE131)+SUMIF(C63:C131,"4а",AE63:AE131)+SUMIF(C63:C131,"4б",AE63:AE131)+SUMIF(D63:D131,"3",AE63:AE131)+SUMIF(D63:D131,"4а",AE63:AE131)+SUMIF(D63:D131,"4б",AE63:AE131)+SUMIF(F63:F131,"3",AE63:AE131)+SUMIF(F63:F131,"4а",AE63:AE131)+SUMIF(F63:F131,"4б",AE63:AE131)</f>
        <v>17.5</v>
      </c>
      <c r="AG140" s="2">
        <f aca="true" t="shared" si="19" ref="AG140:AL140">SUMIF($AE63:$AE138,"&gt;0",H63:H131)</f>
        <v>1230</v>
      </c>
      <c r="AH140" s="2">
        <f t="shared" si="19"/>
        <v>585</v>
      </c>
      <c r="AI140" s="2">
        <f t="shared" si="19"/>
        <v>299</v>
      </c>
      <c r="AJ140" s="2">
        <f t="shared" si="19"/>
        <v>220</v>
      </c>
      <c r="AK140" s="2">
        <f t="shared" si="19"/>
        <v>66</v>
      </c>
      <c r="AL140" s="2">
        <f t="shared" si="19"/>
        <v>555</v>
      </c>
    </row>
    <row r="141" spans="1:52" s="349" customFormat="1" ht="16.5" customHeight="1" thickBot="1">
      <c r="A141" s="811" t="s">
        <v>287</v>
      </c>
      <c r="B141" s="812"/>
      <c r="C141" s="812"/>
      <c r="D141" s="812"/>
      <c r="E141" s="812"/>
      <c r="F141" s="812"/>
      <c r="G141" s="812"/>
      <c r="H141" s="812"/>
      <c r="I141" s="812"/>
      <c r="J141" s="812"/>
      <c r="K141" s="812"/>
      <c r="L141" s="812"/>
      <c r="M141" s="812"/>
      <c r="N141" s="812"/>
      <c r="O141" s="812"/>
      <c r="P141" s="812"/>
      <c r="Q141" s="812"/>
      <c r="R141" s="812"/>
      <c r="S141" s="812"/>
      <c r="T141" s="812"/>
      <c r="U141" s="812"/>
      <c r="V141" s="812"/>
      <c r="W141" s="813"/>
      <c r="X141" s="813"/>
      <c r="Y141" s="813"/>
      <c r="Z141" s="813"/>
      <c r="AA141" s="813"/>
      <c r="AB141" s="814"/>
      <c r="AC141" s="391"/>
      <c r="AW141" s="533"/>
      <c r="AX141" s="538"/>
      <c r="AY141" s="538"/>
      <c r="AZ141" s="533"/>
    </row>
    <row r="142" spans="1:52" s="349" customFormat="1" ht="16.5" customHeight="1">
      <c r="A142" s="445"/>
      <c r="B142" s="550"/>
      <c r="C142" s="547"/>
      <c r="D142" s="446"/>
      <c r="E142" s="446"/>
      <c r="F142" s="447"/>
      <c r="G142" s="448"/>
      <c r="H142" s="221">
        <f>G142*30</f>
        <v>0</v>
      </c>
      <c r="I142" s="215"/>
      <c r="J142" s="215"/>
      <c r="K142" s="215"/>
      <c r="L142" s="215"/>
      <c r="M142" s="217"/>
      <c r="N142" s="449"/>
      <c r="O142" s="450"/>
      <c r="P142" s="451"/>
      <c r="Q142" s="452"/>
      <c r="R142" s="450"/>
      <c r="S142" s="453"/>
      <c r="T142" s="452"/>
      <c r="U142" s="450"/>
      <c r="V142" s="453"/>
      <c r="W142" s="444"/>
      <c r="X142" s="397"/>
      <c r="Y142" s="398"/>
      <c r="Z142" s="393"/>
      <c r="AA142" s="394"/>
      <c r="AB142" s="394"/>
      <c r="AC142" s="399" t="s">
        <v>309</v>
      </c>
      <c r="AW142" s="533"/>
      <c r="AX142" s="538"/>
      <c r="AY142" s="538"/>
      <c r="AZ142" s="533"/>
    </row>
    <row r="143" spans="1:52" s="349" customFormat="1" ht="16.5" customHeight="1">
      <c r="A143" s="454" t="s">
        <v>155</v>
      </c>
      <c r="B143" s="551" t="s">
        <v>315</v>
      </c>
      <c r="C143" s="548"/>
      <c r="D143" s="271"/>
      <c r="E143" s="271"/>
      <c r="F143" s="392"/>
      <c r="G143" s="442">
        <v>9</v>
      </c>
      <c r="H143" s="31">
        <f>G143*30</f>
        <v>270</v>
      </c>
      <c r="I143" s="5"/>
      <c r="J143" s="5"/>
      <c r="K143" s="5"/>
      <c r="L143" s="5"/>
      <c r="M143" s="54"/>
      <c r="N143" s="393"/>
      <c r="O143" s="394"/>
      <c r="P143" s="395"/>
      <c r="Q143" s="396"/>
      <c r="R143" s="394"/>
      <c r="S143" s="455"/>
      <c r="T143" s="396"/>
      <c r="U143" s="394"/>
      <c r="V143" s="455"/>
      <c r="W143" s="393"/>
      <c r="X143" s="394"/>
      <c r="Y143" s="398"/>
      <c r="Z143" s="393"/>
      <c r="AA143" s="394"/>
      <c r="AB143" s="394"/>
      <c r="AC143" s="399"/>
      <c r="AW143" s="533"/>
      <c r="AX143" s="538"/>
      <c r="AY143" s="538"/>
      <c r="AZ143" s="533"/>
    </row>
    <row r="144" spans="1:52" s="349" customFormat="1" ht="15.75" customHeight="1">
      <c r="A144" s="182" t="s">
        <v>156</v>
      </c>
      <c r="B144" s="552" t="s">
        <v>8</v>
      </c>
      <c r="C144" s="81"/>
      <c r="D144" s="271" t="s">
        <v>263</v>
      </c>
      <c r="E144" s="400"/>
      <c r="F144" s="401"/>
      <c r="G144" s="470">
        <v>6</v>
      </c>
      <c r="H144" s="31">
        <f>G144*30</f>
        <v>180</v>
      </c>
      <c r="I144" s="4">
        <v>45</v>
      </c>
      <c r="J144" s="4"/>
      <c r="K144" s="4"/>
      <c r="L144" s="4">
        <v>45</v>
      </c>
      <c r="M144" s="32">
        <f>H144-I144</f>
        <v>135</v>
      </c>
      <c r="N144" s="402"/>
      <c r="O144" s="403"/>
      <c r="P144" s="404"/>
      <c r="Q144" s="405"/>
      <c r="R144" s="403"/>
      <c r="S144" s="456"/>
      <c r="T144" s="405"/>
      <c r="U144" s="403"/>
      <c r="V144" s="456"/>
      <c r="W144" s="402"/>
      <c r="X144" s="403"/>
      <c r="Y144" s="406"/>
      <c r="Z144" s="407"/>
      <c r="AA144" s="403"/>
      <c r="AB144" s="403"/>
      <c r="AC144" s="190" t="s">
        <v>254</v>
      </c>
      <c r="AW144" s="533"/>
      <c r="AX144" s="538" t="s">
        <v>335</v>
      </c>
      <c r="AY144" s="538"/>
      <c r="AZ144" s="533"/>
    </row>
    <row r="145" spans="1:52" s="349" customFormat="1" ht="16.5" customHeight="1">
      <c r="A145" s="205" t="s">
        <v>157</v>
      </c>
      <c r="B145" s="553" t="s">
        <v>40</v>
      </c>
      <c r="C145" s="549"/>
      <c r="D145" s="408" t="s">
        <v>313</v>
      </c>
      <c r="E145" s="409"/>
      <c r="F145" s="410"/>
      <c r="G145" s="470">
        <v>3.5</v>
      </c>
      <c r="H145" s="31">
        <f>G145*30</f>
        <v>105</v>
      </c>
      <c r="I145" s="4">
        <v>15</v>
      </c>
      <c r="J145" s="4"/>
      <c r="K145" s="4"/>
      <c r="L145" s="4">
        <v>30</v>
      </c>
      <c r="M145" s="32">
        <f>H145-I145</f>
        <v>90</v>
      </c>
      <c r="N145" s="411"/>
      <c r="O145" s="412"/>
      <c r="P145" s="413"/>
      <c r="Q145" s="414"/>
      <c r="R145" s="412"/>
      <c r="S145" s="457"/>
      <c r="T145" s="414"/>
      <c r="U145" s="412"/>
      <c r="V145" s="457"/>
      <c r="W145" s="411"/>
      <c r="X145" s="412"/>
      <c r="Y145" s="415"/>
      <c r="Z145" s="411"/>
      <c r="AA145" s="412"/>
      <c r="AB145" s="412"/>
      <c r="AC145" s="190" t="s">
        <v>255</v>
      </c>
      <c r="AW145" s="533"/>
      <c r="AX145" s="538"/>
      <c r="AY145" s="538"/>
      <c r="AZ145" s="533"/>
    </row>
    <row r="146" spans="1:52" s="349" customFormat="1" ht="15" customHeight="1" thickBot="1">
      <c r="A146" s="554"/>
      <c r="B146" s="555"/>
      <c r="C146" s="549"/>
      <c r="D146" s="408"/>
      <c r="E146" s="409"/>
      <c r="F146" s="410"/>
      <c r="G146" s="470"/>
      <c r="H146" s="543"/>
      <c r="I146" s="531"/>
      <c r="J146" s="531"/>
      <c r="K146" s="531"/>
      <c r="L146" s="531"/>
      <c r="M146" s="544"/>
      <c r="N146" s="411"/>
      <c r="O146" s="412"/>
      <c r="P146" s="413"/>
      <c r="Q146" s="414"/>
      <c r="R146" s="412"/>
      <c r="S146" s="457"/>
      <c r="T146" s="414"/>
      <c r="U146" s="412"/>
      <c r="V146" s="457"/>
      <c r="W146" s="411"/>
      <c r="X146" s="412"/>
      <c r="Y146" s="415"/>
      <c r="Z146" s="411"/>
      <c r="AA146" s="412"/>
      <c r="AB146" s="412"/>
      <c r="AC146" s="190" t="s">
        <v>107</v>
      </c>
      <c r="AW146" s="533"/>
      <c r="AX146" s="538"/>
      <c r="AY146" s="538"/>
      <c r="AZ146" s="533"/>
    </row>
    <row r="147" spans="1:52" s="349" customFormat="1" ht="18" customHeight="1" thickBot="1">
      <c r="A147" s="815" t="s">
        <v>310</v>
      </c>
      <c r="B147" s="816"/>
      <c r="C147" s="817"/>
      <c r="D147" s="817"/>
      <c r="E147" s="817"/>
      <c r="F147" s="817"/>
      <c r="G147" s="458">
        <f aca="true" t="shared" si="20" ref="G147:M147">SUM(G142:G145,G146)</f>
        <v>18.5</v>
      </c>
      <c r="H147" s="541">
        <f t="shared" si="20"/>
        <v>555</v>
      </c>
      <c r="I147" s="542">
        <f t="shared" si="20"/>
        <v>60</v>
      </c>
      <c r="J147" s="542">
        <f t="shared" si="20"/>
        <v>0</v>
      </c>
      <c r="K147" s="542">
        <f t="shared" si="20"/>
        <v>0</v>
      </c>
      <c r="L147" s="542">
        <f t="shared" si="20"/>
        <v>75</v>
      </c>
      <c r="M147" s="542">
        <f t="shared" si="20"/>
        <v>225</v>
      </c>
      <c r="N147" s="459">
        <f aca="true" t="shared" si="21" ref="N147:AB147">SUM(N142:N146)</f>
        <v>0</v>
      </c>
      <c r="O147" s="460">
        <f t="shared" si="21"/>
        <v>0</v>
      </c>
      <c r="P147" s="460">
        <f t="shared" si="21"/>
        <v>0</v>
      </c>
      <c r="Q147" s="460">
        <f>SUM(Q142:Q146)</f>
        <v>0</v>
      </c>
      <c r="R147" s="460">
        <f>SUM(R142:R146)</f>
        <v>0</v>
      </c>
      <c r="S147" s="461">
        <f>SUM(S142:S146)</f>
        <v>0</v>
      </c>
      <c r="T147" s="460">
        <f t="shared" si="21"/>
        <v>0</v>
      </c>
      <c r="U147" s="460">
        <f t="shared" si="21"/>
        <v>0</v>
      </c>
      <c r="V147" s="461">
        <f t="shared" si="21"/>
        <v>0</v>
      </c>
      <c r="W147" s="416">
        <f t="shared" si="21"/>
        <v>0</v>
      </c>
      <c r="X147" s="417">
        <f t="shared" si="21"/>
        <v>0</v>
      </c>
      <c r="Y147" s="417">
        <f t="shared" si="21"/>
        <v>0</v>
      </c>
      <c r="Z147" s="417">
        <f t="shared" si="21"/>
        <v>0</v>
      </c>
      <c r="AA147" s="417">
        <f t="shared" si="21"/>
        <v>0</v>
      </c>
      <c r="AB147" s="417">
        <f t="shared" si="21"/>
        <v>0</v>
      </c>
      <c r="AC147" s="190" t="s">
        <v>108</v>
      </c>
      <c r="AW147" s="533"/>
      <c r="AX147" s="538"/>
      <c r="AY147" s="538"/>
      <c r="AZ147" s="533"/>
    </row>
    <row r="148" spans="1:52" s="349" customFormat="1" ht="18" customHeight="1" thickBot="1">
      <c r="A148" s="820" t="s">
        <v>295</v>
      </c>
      <c r="B148" s="821"/>
      <c r="C148" s="517"/>
      <c r="D148" s="517"/>
      <c r="E148" s="517"/>
      <c r="F148" s="518"/>
      <c r="G148" s="519">
        <f>SUM(G142:G143)</f>
        <v>9</v>
      </c>
      <c r="H148" s="519">
        <f>SUM(H142:H143)</f>
        <v>270</v>
      </c>
      <c r="I148" s="519"/>
      <c r="J148" s="439"/>
      <c r="K148" s="439"/>
      <c r="L148" s="439"/>
      <c r="M148" s="439"/>
      <c r="N148" s="440"/>
      <c r="O148" s="440"/>
      <c r="P148" s="440"/>
      <c r="Q148" s="440"/>
      <c r="R148" s="440"/>
      <c r="S148" s="441"/>
      <c r="T148" s="440"/>
      <c r="U148" s="440"/>
      <c r="V148" s="441"/>
      <c r="W148" s="436"/>
      <c r="X148" s="436"/>
      <c r="Y148" s="436"/>
      <c r="Z148" s="436"/>
      <c r="AA148" s="436"/>
      <c r="AB148" s="416"/>
      <c r="AC148" s="190"/>
      <c r="AW148" s="533"/>
      <c r="AX148" s="538"/>
      <c r="AY148" s="538"/>
      <c r="AZ148" s="533"/>
    </row>
    <row r="149" spans="1:52" s="349" customFormat="1" ht="18" customHeight="1" thickBot="1">
      <c r="A149" s="822" t="s">
        <v>72</v>
      </c>
      <c r="B149" s="823"/>
      <c r="C149" s="8"/>
      <c r="D149" s="8"/>
      <c r="E149" s="8"/>
      <c r="F149" s="30"/>
      <c r="G149" s="95">
        <f>SUM(G144:G145)</f>
        <v>9.5</v>
      </c>
      <c r="H149" s="95">
        <f>SUM(H144:H145)</f>
        <v>285</v>
      </c>
      <c r="I149" s="95">
        <f>SUM(I144:I145)</f>
        <v>60</v>
      </c>
      <c r="J149" s="149"/>
      <c r="K149" s="149"/>
      <c r="L149" s="149"/>
      <c r="M149" s="149"/>
      <c r="N149" s="437"/>
      <c r="O149" s="437"/>
      <c r="P149" s="437"/>
      <c r="Q149" s="437"/>
      <c r="R149" s="437"/>
      <c r="S149" s="438"/>
      <c r="T149" s="437"/>
      <c r="U149" s="437"/>
      <c r="V149" s="438"/>
      <c r="W149" s="436"/>
      <c r="X149" s="436"/>
      <c r="Y149" s="436"/>
      <c r="Z149" s="436"/>
      <c r="AA149" s="436"/>
      <c r="AB149" s="416"/>
      <c r="AC149" s="190"/>
      <c r="AW149" s="533"/>
      <c r="AX149" s="538"/>
      <c r="AY149" s="538"/>
      <c r="AZ149" s="533"/>
    </row>
    <row r="150" spans="1:52" s="349" customFormat="1" ht="16.5" customHeight="1" thickBot="1">
      <c r="A150" s="818" t="s">
        <v>311</v>
      </c>
      <c r="B150" s="819"/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3"/>
      <c r="X150" s="813"/>
      <c r="Y150" s="813"/>
      <c r="Z150" s="813"/>
      <c r="AA150" s="813"/>
      <c r="AB150" s="814"/>
      <c r="AC150" s="391"/>
      <c r="AW150" s="533"/>
      <c r="AX150" s="538"/>
      <c r="AY150" s="538"/>
      <c r="AZ150" s="533"/>
    </row>
    <row r="151" spans="1:52" s="349" customFormat="1" ht="16.5" thickBot="1">
      <c r="A151" s="434" t="s">
        <v>288</v>
      </c>
      <c r="B151" s="419" t="s">
        <v>312</v>
      </c>
      <c r="C151" s="420" t="s">
        <v>313</v>
      </c>
      <c r="D151" s="421"/>
      <c r="E151" s="421"/>
      <c r="F151" s="422"/>
      <c r="G151" s="435">
        <v>6</v>
      </c>
      <c r="H151" s="423">
        <f>G151*30</f>
        <v>180</v>
      </c>
      <c r="I151" s="424">
        <v>45</v>
      </c>
      <c r="J151" s="424"/>
      <c r="K151" s="425"/>
      <c r="L151" s="425">
        <v>45</v>
      </c>
      <c r="M151" s="426"/>
      <c r="N151" s="427"/>
      <c r="O151" s="428"/>
      <c r="P151" s="429"/>
      <c r="Q151" s="430"/>
      <c r="R151" s="428"/>
      <c r="S151" s="431"/>
      <c r="T151" s="430"/>
      <c r="U151" s="428"/>
      <c r="V151" s="431"/>
      <c r="W151" s="430"/>
      <c r="X151" s="428"/>
      <c r="Y151" s="431"/>
      <c r="Z151" s="427"/>
      <c r="AA151" s="428"/>
      <c r="AB151" s="428"/>
      <c r="AC151" s="399"/>
      <c r="AW151" s="533"/>
      <c r="AX151" s="538"/>
      <c r="AY151" s="538"/>
      <c r="AZ151" s="533"/>
    </row>
    <row r="152" spans="1:52" s="349" customFormat="1" ht="16.5" thickBot="1">
      <c r="A152" s="804" t="s">
        <v>314</v>
      </c>
      <c r="B152" s="805"/>
      <c r="C152" s="805"/>
      <c r="D152" s="805"/>
      <c r="E152" s="805"/>
      <c r="F152" s="806"/>
      <c r="G152" s="432">
        <f>G151</f>
        <v>6</v>
      </c>
      <c r="H152" s="432">
        <f>H151</f>
        <v>180</v>
      </c>
      <c r="I152" s="432">
        <f aca="true" t="shared" si="22" ref="I152:AB152">I151</f>
        <v>45</v>
      </c>
      <c r="J152" s="432">
        <f t="shared" si="22"/>
        <v>0</v>
      </c>
      <c r="K152" s="432">
        <f t="shared" si="22"/>
        <v>0</v>
      </c>
      <c r="L152" s="432">
        <f t="shared" si="22"/>
        <v>45</v>
      </c>
      <c r="M152" s="432">
        <f t="shared" si="22"/>
        <v>0</v>
      </c>
      <c r="N152" s="433">
        <f t="shared" si="22"/>
        <v>0</v>
      </c>
      <c r="O152" s="433">
        <f t="shared" si="22"/>
        <v>0</v>
      </c>
      <c r="P152" s="433">
        <f t="shared" si="22"/>
        <v>0</v>
      </c>
      <c r="Q152" s="433">
        <f>Q151</f>
        <v>0</v>
      </c>
      <c r="R152" s="433">
        <f>R151</f>
        <v>0</v>
      </c>
      <c r="S152" s="433">
        <f>S151</f>
        <v>0</v>
      </c>
      <c r="T152" s="433">
        <f t="shared" si="22"/>
        <v>0</v>
      </c>
      <c r="U152" s="433">
        <f t="shared" si="22"/>
        <v>0</v>
      </c>
      <c r="V152" s="433">
        <f t="shared" si="22"/>
        <v>0</v>
      </c>
      <c r="W152" s="433">
        <f t="shared" si="22"/>
        <v>0</v>
      </c>
      <c r="X152" s="433">
        <f t="shared" si="22"/>
        <v>0</v>
      </c>
      <c r="Y152" s="433">
        <f t="shared" si="22"/>
        <v>0</v>
      </c>
      <c r="Z152" s="433">
        <f t="shared" si="22"/>
        <v>0</v>
      </c>
      <c r="AA152" s="433">
        <f t="shared" si="22"/>
        <v>0</v>
      </c>
      <c r="AB152" s="433">
        <f t="shared" si="22"/>
        <v>0</v>
      </c>
      <c r="AC152" s="418"/>
      <c r="AW152" s="533"/>
      <c r="AX152" s="538"/>
      <c r="AY152" s="538"/>
      <c r="AZ152" s="533"/>
    </row>
    <row r="153" spans="1:52" s="143" customFormat="1" ht="16.5" customHeight="1" thickBot="1">
      <c r="A153" s="840" t="s">
        <v>289</v>
      </c>
      <c r="B153" s="802"/>
      <c r="C153" s="802"/>
      <c r="D153" s="802"/>
      <c r="E153" s="802"/>
      <c r="F153" s="802"/>
      <c r="G153" s="802"/>
      <c r="H153" s="802"/>
      <c r="I153" s="802"/>
      <c r="J153" s="802"/>
      <c r="K153" s="802"/>
      <c r="L153" s="802"/>
      <c r="M153" s="802"/>
      <c r="N153" s="802"/>
      <c r="O153" s="802"/>
      <c r="P153" s="802"/>
      <c r="Q153" s="802"/>
      <c r="R153" s="802"/>
      <c r="S153" s="802"/>
      <c r="T153" s="802"/>
      <c r="U153" s="802"/>
      <c r="V153" s="802"/>
      <c r="W153" s="802"/>
      <c r="X153" s="802"/>
      <c r="Y153" s="802"/>
      <c r="Z153" s="802"/>
      <c r="AA153" s="802"/>
      <c r="AB153" s="803"/>
      <c r="AW153" s="351"/>
      <c r="AX153" s="536"/>
      <c r="AY153" s="536"/>
      <c r="AZ153" s="351"/>
    </row>
    <row r="154" spans="1:29" ht="15.75" customHeight="1" thickBot="1">
      <c r="A154" s="881" t="s">
        <v>300</v>
      </c>
      <c r="B154" s="882"/>
      <c r="C154" s="882"/>
      <c r="D154" s="882"/>
      <c r="E154" s="882"/>
      <c r="F154" s="882"/>
      <c r="G154" s="882"/>
      <c r="H154" s="882"/>
      <c r="I154" s="882"/>
      <c r="J154" s="882"/>
      <c r="K154" s="882"/>
      <c r="L154" s="882"/>
      <c r="M154" s="882"/>
      <c r="N154" s="882"/>
      <c r="O154" s="882"/>
      <c r="P154" s="882"/>
      <c r="Q154" s="882"/>
      <c r="R154" s="882"/>
      <c r="S154" s="882"/>
      <c r="T154" s="882"/>
      <c r="U154" s="882"/>
      <c r="V154" s="882"/>
      <c r="W154" s="882"/>
      <c r="X154" s="882"/>
      <c r="Y154" s="882"/>
      <c r="Z154" s="882"/>
      <c r="AA154" s="882"/>
      <c r="AB154" s="883"/>
      <c r="AC154" s="357"/>
    </row>
    <row r="155" spans="1:29" ht="15.75" customHeight="1">
      <c r="A155" s="884" t="s">
        <v>301</v>
      </c>
      <c r="B155" s="371" t="s">
        <v>351</v>
      </c>
      <c r="C155" s="372"/>
      <c r="D155" s="372" t="s">
        <v>259</v>
      </c>
      <c r="E155" s="372"/>
      <c r="F155" s="372"/>
      <c r="G155" s="373">
        <v>3</v>
      </c>
      <c r="H155" s="374">
        <f aca="true" t="shared" si="23" ref="H155:H169">G155*30</f>
        <v>90</v>
      </c>
      <c r="I155" s="375">
        <f aca="true" t="shared" si="24" ref="I155:I169">J155+K155+L155</f>
        <v>36</v>
      </c>
      <c r="J155" s="376">
        <v>18</v>
      </c>
      <c r="K155" s="376"/>
      <c r="L155" s="376">
        <v>18</v>
      </c>
      <c r="M155" s="559">
        <f aca="true" t="shared" si="25" ref="M155:M169">H155-I155</f>
        <v>54</v>
      </c>
      <c r="N155" s="565"/>
      <c r="O155" s="479">
        <v>2</v>
      </c>
      <c r="P155" s="480">
        <v>2</v>
      </c>
      <c r="Q155" s="562"/>
      <c r="R155" s="372"/>
      <c r="S155" s="377"/>
      <c r="T155" s="479"/>
      <c r="U155" s="372"/>
      <c r="V155" s="377"/>
      <c r="W155" s="368"/>
      <c r="X155" s="359"/>
      <c r="Y155" s="359"/>
      <c r="Z155" s="359"/>
      <c r="AA155" s="359"/>
      <c r="AB155" s="361"/>
      <c r="AC155" s="357"/>
    </row>
    <row r="156" spans="1:29" ht="15.75" customHeight="1">
      <c r="A156" s="885"/>
      <c r="B156" s="568" t="s">
        <v>352</v>
      </c>
      <c r="C156" s="359"/>
      <c r="D156" s="359" t="s">
        <v>259</v>
      </c>
      <c r="E156" s="359"/>
      <c r="F156" s="359"/>
      <c r="G156" s="369">
        <v>3</v>
      </c>
      <c r="H156" s="370">
        <f t="shared" si="23"/>
        <v>90</v>
      </c>
      <c r="I156" s="360">
        <f t="shared" si="24"/>
        <v>36</v>
      </c>
      <c r="J156" s="360">
        <v>18</v>
      </c>
      <c r="K156" s="360"/>
      <c r="L156" s="360">
        <v>18</v>
      </c>
      <c r="M156" s="560">
        <f t="shared" si="25"/>
        <v>54</v>
      </c>
      <c r="N156" s="566"/>
      <c r="O156" s="359">
        <v>2</v>
      </c>
      <c r="P156" s="378">
        <v>2</v>
      </c>
      <c r="Q156" s="368"/>
      <c r="R156" s="359"/>
      <c r="S156" s="378"/>
      <c r="T156" s="359"/>
      <c r="U156" s="359"/>
      <c r="V156" s="378"/>
      <c r="W156" s="365"/>
      <c r="X156" s="364"/>
      <c r="Y156" s="363"/>
      <c r="Z156" s="362"/>
      <c r="AA156" s="366"/>
      <c r="AB156" s="367"/>
      <c r="AC156" s="357"/>
    </row>
    <row r="157" spans="1:29" ht="15.75" customHeight="1">
      <c r="A157" s="885"/>
      <c r="B157" s="568" t="s">
        <v>353</v>
      </c>
      <c r="C157" s="359"/>
      <c r="D157" s="359" t="s">
        <v>259</v>
      </c>
      <c r="E157" s="359"/>
      <c r="F157" s="359"/>
      <c r="G157" s="369">
        <v>3</v>
      </c>
      <c r="H157" s="370">
        <f t="shared" si="23"/>
        <v>90</v>
      </c>
      <c r="I157" s="360">
        <f aca="true" t="shared" si="26" ref="I157:I163">J157+K157+L157</f>
        <v>36</v>
      </c>
      <c r="J157" s="360">
        <v>18</v>
      </c>
      <c r="K157" s="360"/>
      <c r="L157" s="360">
        <v>18</v>
      </c>
      <c r="M157" s="560">
        <f aca="true" t="shared" si="27" ref="M157:M163">H157-I157</f>
        <v>54</v>
      </c>
      <c r="N157" s="566"/>
      <c r="O157" s="359">
        <v>2</v>
      </c>
      <c r="P157" s="378">
        <v>2</v>
      </c>
      <c r="Q157" s="368"/>
      <c r="R157" s="359"/>
      <c r="S157" s="378"/>
      <c r="T157" s="359"/>
      <c r="U157" s="359"/>
      <c r="V157" s="378"/>
      <c r="W157" s="365"/>
      <c r="X157" s="364"/>
      <c r="Y157" s="363"/>
      <c r="Z157" s="362"/>
      <c r="AA157" s="366"/>
      <c r="AB157" s="367"/>
      <c r="AC157" s="357"/>
    </row>
    <row r="158" spans="1:29" ht="15.75" customHeight="1">
      <c r="A158" s="885"/>
      <c r="B158" s="568" t="s">
        <v>354</v>
      </c>
      <c r="C158" s="359"/>
      <c r="D158" s="359" t="s">
        <v>259</v>
      </c>
      <c r="E158" s="359"/>
      <c r="F158" s="359"/>
      <c r="G158" s="369">
        <v>3</v>
      </c>
      <c r="H158" s="370">
        <f t="shared" si="23"/>
        <v>90</v>
      </c>
      <c r="I158" s="360">
        <f t="shared" si="26"/>
        <v>36</v>
      </c>
      <c r="J158" s="360">
        <v>18</v>
      </c>
      <c r="K158" s="360"/>
      <c r="L158" s="360">
        <v>18</v>
      </c>
      <c r="M158" s="560">
        <f t="shared" si="27"/>
        <v>54</v>
      </c>
      <c r="N158" s="566"/>
      <c r="O158" s="359">
        <v>2</v>
      </c>
      <c r="P158" s="378">
        <v>2</v>
      </c>
      <c r="Q158" s="368"/>
      <c r="R158" s="359"/>
      <c r="S158" s="378"/>
      <c r="T158" s="359"/>
      <c r="U158" s="359"/>
      <c r="V158" s="378"/>
      <c r="W158" s="365"/>
      <c r="X158" s="364"/>
      <c r="Y158" s="363"/>
      <c r="Z158" s="362"/>
      <c r="AA158" s="366"/>
      <c r="AB158" s="367"/>
      <c r="AC158" s="357"/>
    </row>
    <row r="159" spans="1:29" ht="15.75" customHeight="1">
      <c r="A159" s="885"/>
      <c r="B159" s="568" t="s">
        <v>355</v>
      </c>
      <c r="C159" s="359"/>
      <c r="D159" s="359" t="s">
        <v>259</v>
      </c>
      <c r="E159" s="359"/>
      <c r="F159" s="359"/>
      <c r="G159" s="369">
        <v>3</v>
      </c>
      <c r="H159" s="370">
        <f t="shared" si="23"/>
        <v>90</v>
      </c>
      <c r="I159" s="360">
        <f t="shared" si="26"/>
        <v>36</v>
      </c>
      <c r="J159" s="360">
        <v>18</v>
      </c>
      <c r="K159" s="360"/>
      <c r="L159" s="360">
        <v>18</v>
      </c>
      <c r="M159" s="560">
        <f t="shared" si="27"/>
        <v>54</v>
      </c>
      <c r="N159" s="566"/>
      <c r="O159" s="359">
        <v>2</v>
      </c>
      <c r="P159" s="378">
        <v>2</v>
      </c>
      <c r="Q159" s="368"/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</row>
    <row r="160" spans="1:29" ht="15.75" customHeight="1">
      <c r="A160" s="885"/>
      <c r="B160" s="568" t="s">
        <v>356</v>
      </c>
      <c r="C160" s="359"/>
      <c r="D160" s="359" t="s">
        <v>259</v>
      </c>
      <c r="E160" s="359"/>
      <c r="F160" s="359"/>
      <c r="G160" s="369">
        <v>3</v>
      </c>
      <c r="H160" s="370">
        <f t="shared" si="23"/>
        <v>90</v>
      </c>
      <c r="I160" s="360">
        <f t="shared" si="26"/>
        <v>36</v>
      </c>
      <c r="J160" s="360">
        <v>18</v>
      </c>
      <c r="K160" s="360"/>
      <c r="L160" s="360">
        <v>18</v>
      </c>
      <c r="M160" s="560">
        <f t="shared" si="27"/>
        <v>54</v>
      </c>
      <c r="N160" s="566"/>
      <c r="O160" s="359">
        <v>2</v>
      </c>
      <c r="P160" s="378">
        <v>2</v>
      </c>
      <c r="Q160" s="368"/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</row>
    <row r="161" spans="1:29" ht="15.75" customHeight="1">
      <c r="A161" s="890"/>
      <c r="B161" s="568" t="s">
        <v>357</v>
      </c>
      <c r="C161" s="557"/>
      <c r="D161" s="359" t="s">
        <v>259</v>
      </c>
      <c r="E161" s="359"/>
      <c r="F161" s="359"/>
      <c r="G161" s="369">
        <v>3</v>
      </c>
      <c r="H161" s="370">
        <f t="shared" si="23"/>
        <v>90</v>
      </c>
      <c r="I161" s="360">
        <f t="shared" si="26"/>
        <v>36</v>
      </c>
      <c r="J161" s="360">
        <v>18</v>
      </c>
      <c r="K161" s="360"/>
      <c r="L161" s="360">
        <v>18</v>
      </c>
      <c r="M161" s="560">
        <f t="shared" si="27"/>
        <v>54</v>
      </c>
      <c r="N161" s="566"/>
      <c r="O161" s="359">
        <v>2</v>
      </c>
      <c r="P161" s="378">
        <v>2</v>
      </c>
      <c r="Q161" s="563"/>
      <c r="R161" s="557"/>
      <c r="S161" s="558"/>
      <c r="T161" s="557"/>
      <c r="U161" s="557"/>
      <c r="V161" s="558"/>
      <c r="W161" s="365"/>
      <c r="X161" s="364"/>
      <c r="Y161" s="363"/>
      <c r="Z161" s="362"/>
      <c r="AA161" s="366"/>
      <c r="AB161" s="367"/>
      <c r="AC161" s="357"/>
    </row>
    <row r="162" spans="1:29" ht="15.75" customHeight="1">
      <c r="A162" s="890"/>
      <c r="B162" s="568" t="s">
        <v>302</v>
      </c>
      <c r="C162" s="557"/>
      <c r="D162" s="359" t="s">
        <v>259</v>
      </c>
      <c r="E162" s="359"/>
      <c r="F162" s="359"/>
      <c r="G162" s="369">
        <v>3</v>
      </c>
      <c r="H162" s="370">
        <f t="shared" si="23"/>
        <v>90</v>
      </c>
      <c r="I162" s="360">
        <f t="shared" si="26"/>
        <v>36</v>
      </c>
      <c r="J162" s="360">
        <v>18</v>
      </c>
      <c r="K162" s="360"/>
      <c r="L162" s="360">
        <v>18</v>
      </c>
      <c r="M162" s="560">
        <f t="shared" si="27"/>
        <v>54</v>
      </c>
      <c r="N162" s="566"/>
      <c r="O162" s="359">
        <v>2</v>
      </c>
      <c r="P162" s="378">
        <v>2</v>
      </c>
      <c r="Q162" s="563"/>
      <c r="R162" s="557"/>
      <c r="S162" s="558"/>
      <c r="T162" s="557"/>
      <c r="U162" s="557"/>
      <c r="V162" s="558"/>
      <c r="W162" s="365"/>
      <c r="X162" s="364"/>
      <c r="Y162" s="363"/>
      <c r="Z162" s="362"/>
      <c r="AA162" s="366"/>
      <c r="AB162" s="367"/>
      <c r="AC162" s="357"/>
    </row>
    <row r="163" spans="1:29" ht="15.75" customHeight="1" thickBot="1">
      <c r="A163" s="886"/>
      <c r="B163" s="568" t="s">
        <v>303</v>
      </c>
      <c r="C163" s="380"/>
      <c r="D163" s="359" t="s">
        <v>259</v>
      </c>
      <c r="E163" s="359"/>
      <c r="F163" s="359"/>
      <c r="G163" s="369">
        <v>3</v>
      </c>
      <c r="H163" s="370">
        <f t="shared" si="23"/>
        <v>90</v>
      </c>
      <c r="I163" s="360">
        <f t="shared" si="26"/>
        <v>36</v>
      </c>
      <c r="J163" s="360">
        <v>18</v>
      </c>
      <c r="K163" s="360"/>
      <c r="L163" s="360">
        <v>18</v>
      </c>
      <c r="M163" s="560">
        <f t="shared" si="27"/>
        <v>54</v>
      </c>
      <c r="N163" s="566"/>
      <c r="O163" s="359">
        <v>2</v>
      </c>
      <c r="P163" s="378">
        <v>2</v>
      </c>
      <c r="Q163" s="564"/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</row>
    <row r="164" spans="1:29" ht="15.75" customHeight="1">
      <c r="A164" s="884" t="s">
        <v>359</v>
      </c>
      <c r="B164" s="371" t="s">
        <v>304</v>
      </c>
      <c r="C164" s="372"/>
      <c r="D164" s="372">
        <v>3</v>
      </c>
      <c r="E164" s="372"/>
      <c r="F164" s="372"/>
      <c r="G164" s="373">
        <v>3</v>
      </c>
      <c r="H164" s="374">
        <f t="shared" si="23"/>
        <v>90</v>
      </c>
      <c r="I164" s="375">
        <f t="shared" si="24"/>
        <v>30</v>
      </c>
      <c r="J164" s="376">
        <v>15</v>
      </c>
      <c r="K164" s="376"/>
      <c r="L164" s="376">
        <v>15</v>
      </c>
      <c r="M164" s="559">
        <f t="shared" si="25"/>
        <v>60</v>
      </c>
      <c r="N164" s="565"/>
      <c r="O164" s="372"/>
      <c r="P164" s="377"/>
      <c r="Q164" s="479">
        <v>2</v>
      </c>
      <c r="R164" s="372"/>
      <c r="S164" s="377"/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</row>
    <row r="165" spans="1:29" ht="15.75" customHeight="1">
      <c r="A165" s="885"/>
      <c r="B165" s="568" t="s">
        <v>353</v>
      </c>
      <c r="C165" s="359"/>
      <c r="D165" s="359">
        <v>3</v>
      </c>
      <c r="E165" s="359"/>
      <c r="F165" s="359"/>
      <c r="G165" s="369">
        <v>3</v>
      </c>
      <c r="H165" s="370">
        <f t="shared" si="23"/>
        <v>90</v>
      </c>
      <c r="I165" s="360">
        <f t="shared" si="24"/>
        <v>30</v>
      </c>
      <c r="J165" s="360">
        <v>15</v>
      </c>
      <c r="K165" s="360"/>
      <c r="L165" s="360">
        <v>15</v>
      </c>
      <c r="M165" s="560">
        <f t="shared" si="25"/>
        <v>60</v>
      </c>
      <c r="N165" s="566"/>
      <c r="O165" s="359"/>
      <c r="P165" s="378"/>
      <c r="Q165" s="359">
        <v>2</v>
      </c>
      <c r="R165" s="359"/>
      <c r="S165" s="378"/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</row>
    <row r="166" spans="1:29" ht="15.75" customHeight="1">
      <c r="A166" s="885"/>
      <c r="B166" s="568" t="s">
        <v>308</v>
      </c>
      <c r="C166" s="359"/>
      <c r="D166" s="359">
        <v>3</v>
      </c>
      <c r="E166" s="359"/>
      <c r="F166" s="359"/>
      <c r="G166" s="369">
        <v>3</v>
      </c>
      <c r="H166" s="370">
        <f t="shared" si="23"/>
        <v>90</v>
      </c>
      <c r="I166" s="360">
        <f t="shared" si="24"/>
        <v>30</v>
      </c>
      <c r="J166" s="360">
        <v>15</v>
      </c>
      <c r="K166" s="360"/>
      <c r="L166" s="360">
        <v>15</v>
      </c>
      <c r="M166" s="560">
        <f t="shared" si="25"/>
        <v>60</v>
      </c>
      <c r="N166" s="566"/>
      <c r="O166" s="359"/>
      <c r="P166" s="378"/>
      <c r="Q166" s="359">
        <v>2</v>
      </c>
      <c r="R166" s="359"/>
      <c r="S166" s="378"/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</row>
    <row r="167" spans="1:29" ht="15.75" customHeight="1">
      <c r="A167" s="885"/>
      <c r="B167" s="568" t="s">
        <v>74</v>
      </c>
      <c r="C167" s="359"/>
      <c r="D167" s="359">
        <v>3</v>
      </c>
      <c r="E167" s="359"/>
      <c r="F167" s="359"/>
      <c r="G167" s="369">
        <v>3</v>
      </c>
      <c r="H167" s="370">
        <f t="shared" si="23"/>
        <v>90</v>
      </c>
      <c r="I167" s="360">
        <f t="shared" si="24"/>
        <v>30</v>
      </c>
      <c r="J167" s="360">
        <v>15</v>
      </c>
      <c r="K167" s="360"/>
      <c r="L167" s="360">
        <v>15</v>
      </c>
      <c r="M167" s="560">
        <f t="shared" si="25"/>
        <v>60</v>
      </c>
      <c r="N167" s="566"/>
      <c r="O167" s="359"/>
      <c r="P167" s="378"/>
      <c r="Q167" s="359">
        <v>2</v>
      </c>
      <c r="R167" s="359"/>
      <c r="S167" s="378"/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</row>
    <row r="168" spans="1:29" ht="15.75" customHeight="1">
      <c r="A168" s="885"/>
      <c r="B168" s="568" t="s">
        <v>75</v>
      </c>
      <c r="C168" s="359"/>
      <c r="D168" s="359">
        <v>3</v>
      </c>
      <c r="E168" s="359"/>
      <c r="F168" s="359"/>
      <c r="G168" s="369">
        <v>3</v>
      </c>
      <c r="H168" s="370">
        <f t="shared" si="23"/>
        <v>90</v>
      </c>
      <c r="I168" s="360">
        <f t="shared" si="24"/>
        <v>30</v>
      </c>
      <c r="J168" s="360">
        <v>15</v>
      </c>
      <c r="K168" s="360"/>
      <c r="L168" s="360">
        <v>15</v>
      </c>
      <c r="M168" s="560">
        <f t="shared" si="25"/>
        <v>60</v>
      </c>
      <c r="N168" s="566"/>
      <c r="O168" s="359"/>
      <c r="P168" s="378"/>
      <c r="Q168" s="359">
        <v>2</v>
      </c>
      <c r="R168" s="359"/>
      <c r="S168" s="378"/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</row>
    <row r="169" spans="1:29" ht="15.75" customHeight="1" thickBot="1">
      <c r="A169" s="886"/>
      <c r="B169" s="379" t="s">
        <v>303</v>
      </c>
      <c r="C169" s="380"/>
      <c r="D169" s="380">
        <v>3</v>
      </c>
      <c r="E169" s="380"/>
      <c r="F169" s="380"/>
      <c r="G169" s="381">
        <v>3</v>
      </c>
      <c r="H169" s="382">
        <f t="shared" si="23"/>
        <v>90</v>
      </c>
      <c r="I169" s="383">
        <f t="shared" si="24"/>
        <v>30</v>
      </c>
      <c r="J169" s="383">
        <v>15</v>
      </c>
      <c r="K169" s="383"/>
      <c r="L169" s="383">
        <v>15</v>
      </c>
      <c r="M169" s="561">
        <f t="shared" si="25"/>
        <v>60</v>
      </c>
      <c r="N169" s="567"/>
      <c r="O169" s="380"/>
      <c r="P169" s="384"/>
      <c r="Q169" s="380">
        <v>2</v>
      </c>
      <c r="R169" s="380"/>
      <c r="S169" s="384"/>
      <c r="T169" s="380"/>
      <c r="U169" s="380"/>
      <c r="V169" s="384"/>
      <c r="W169" s="365"/>
      <c r="X169" s="364"/>
      <c r="Y169" s="363"/>
      <c r="Z169" s="362"/>
      <c r="AA169" s="366"/>
      <c r="AB169" s="367"/>
      <c r="AC169" s="357"/>
    </row>
    <row r="170" spans="1:29" ht="15.75" customHeight="1">
      <c r="A170" s="884" t="s">
        <v>360</v>
      </c>
      <c r="B170" s="371" t="s">
        <v>358</v>
      </c>
      <c r="C170" s="372"/>
      <c r="D170" s="372" t="s">
        <v>261</v>
      </c>
      <c r="E170" s="372"/>
      <c r="F170" s="372"/>
      <c r="G170" s="373">
        <v>3</v>
      </c>
      <c r="H170" s="374">
        <f aca="true" t="shared" si="28" ref="H170:H178">G170*30</f>
        <v>90</v>
      </c>
      <c r="I170" s="375">
        <f aca="true" t="shared" si="29" ref="I170:I178">J170+K170+L170</f>
        <v>36</v>
      </c>
      <c r="J170" s="376">
        <v>18</v>
      </c>
      <c r="K170" s="376"/>
      <c r="L170" s="376">
        <v>18</v>
      </c>
      <c r="M170" s="559">
        <f>H170-I170</f>
        <v>54</v>
      </c>
      <c r="N170" s="565"/>
      <c r="O170" s="479"/>
      <c r="P170" s="480"/>
      <c r="Q170" s="562"/>
      <c r="R170" s="479">
        <v>2</v>
      </c>
      <c r="S170" s="480">
        <v>2</v>
      </c>
      <c r="T170" s="479"/>
      <c r="U170" s="372"/>
      <c r="V170" s="377"/>
      <c r="W170" s="368"/>
      <c r="X170" s="359"/>
      <c r="Y170" s="359"/>
      <c r="Z170" s="359"/>
      <c r="AA170" s="359"/>
      <c r="AB170" s="361"/>
      <c r="AC170" s="357"/>
    </row>
    <row r="171" spans="1:29" ht="15.75" customHeight="1">
      <c r="A171" s="885"/>
      <c r="B171" s="358" t="s">
        <v>305</v>
      </c>
      <c r="C171" s="359"/>
      <c r="D171" s="359" t="s">
        <v>261</v>
      </c>
      <c r="E171" s="359"/>
      <c r="F171" s="359"/>
      <c r="G171" s="369">
        <v>3</v>
      </c>
      <c r="H171" s="370">
        <f t="shared" si="28"/>
        <v>90</v>
      </c>
      <c r="I171" s="360">
        <f t="shared" si="29"/>
        <v>36</v>
      </c>
      <c r="J171" s="360">
        <v>18</v>
      </c>
      <c r="K171" s="360"/>
      <c r="L171" s="360">
        <v>18</v>
      </c>
      <c r="M171" s="560">
        <f>H171-I171</f>
        <v>54</v>
      </c>
      <c r="N171" s="566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</row>
    <row r="172" spans="1:29" ht="15.75" customHeight="1">
      <c r="A172" s="885"/>
      <c r="B172" s="358" t="s">
        <v>353</v>
      </c>
      <c r="C172" s="359"/>
      <c r="D172" s="359" t="s">
        <v>261</v>
      </c>
      <c r="E172" s="359"/>
      <c r="F172" s="359"/>
      <c r="G172" s="369">
        <v>3</v>
      </c>
      <c r="H172" s="370">
        <f t="shared" si="28"/>
        <v>90</v>
      </c>
      <c r="I172" s="360">
        <f t="shared" si="29"/>
        <v>36</v>
      </c>
      <c r="J172" s="360">
        <v>18</v>
      </c>
      <c r="K172" s="360"/>
      <c r="L172" s="360">
        <v>18</v>
      </c>
      <c r="M172" s="560">
        <f aca="true" t="shared" si="30" ref="M172:M178">H172-I172</f>
        <v>54</v>
      </c>
      <c r="N172" s="566"/>
      <c r="O172" s="359"/>
      <c r="P172" s="378"/>
      <c r="Q172" s="368"/>
      <c r="R172" s="359">
        <v>2</v>
      </c>
      <c r="S172" s="378">
        <v>2</v>
      </c>
      <c r="T172" s="359"/>
      <c r="U172" s="359"/>
      <c r="V172" s="378"/>
      <c r="W172" s="365"/>
      <c r="X172" s="364"/>
      <c r="Y172" s="363"/>
      <c r="Z172" s="362"/>
      <c r="AA172" s="366"/>
      <c r="AB172" s="367"/>
      <c r="AC172" s="357"/>
    </row>
    <row r="173" spans="1:29" ht="15.75" customHeight="1">
      <c r="A173" s="885"/>
      <c r="B173" s="358" t="s">
        <v>306</v>
      </c>
      <c r="C173" s="359"/>
      <c r="D173" s="359" t="s">
        <v>261</v>
      </c>
      <c r="E173" s="359"/>
      <c r="F173" s="359"/>
      <c r="G173" s="369">
        <v>3</v>
      </c>
      <c r="H173" s="370">
        <f t="shared" si="28"/>
        <v>90</v>
      </c>
      <c r="I173" s="360">
        <f>J173+K173+L173</f>
        <v>36</v>
      </c>
      <c r="J173" s="360">
        <v>18</v>
      </c>
      <c r="K173" s="360"/>
      <c r="L173" s="360">
        <v>18</v>
      </c>
      <c r="M173" s="560">
        <f t="shared" si="30"/>
        <v>54</v>
      </c>
      <c r="N173" s="566"/>
      <c r="O173" s="359"/>
      <c r="P173" s="378"/>
      <c r="Q173" s="368"/>
      <c r="R173" s="359">
        <v>2</v>
      </c>
      <c r="S173" s="378">
        <v>2</v>
      </c>
      <c r="T173" s="359"/>
      <c r="U173" s="359"/>
      <c r="V173" s="378"/>
      <c r="W173" s="365"/>
      <c r="X173" s="364"/>
      <c r="Y173" s="363"/>
      <c r="Z173" s="362"/>
      <c r="AA173" s="366"/>
      <c r="AB173" s="367"/>
      <c r="AC173" s="357"/>
    </row>
    <row r="174" spans="1:29" ht="15.75" customHeight="1">
      <c r="A174" s="885"/>
      <c r="B174" s="358" t="s">
        <v>361</v>
      </c>
      <c r="C174" s="359"/>
      <c r="D174" s="359" t="s">
        <v>261</v>
      </c>
      <c r="E174" s="359"/>
      <c r="F174" s="359"/>
      <c r="G174" s="369">
        <v>3</v>
      </c>
      <c r="H174" s="370">
        <f t="shared" si="28"/>
        <v>90</v>
      </c>
      <c r="I174" s="360">
        <f>J174+K174+L174</f>
        <v>36</v>
      </c>
      <c r="J174" s="360">
        <v>18</v>
      </c>
      <c r="K174" s="360"/>
      <c r="L174" s="360">
        <v>18</v>
      </c>
      <c r="M174" s="560">
        <f t="shared" si="30"/>
        <v>54</v>
      </c>
      <c r="N174" s="566"/>
      <c r="O174" s="359"/>
      <c r="P174" s="378"/>
      <c r="Q174" s="368"/>
      <c r="R174" s="359">
        <v>2</v>
      </c>
      <c r="S174" s="378">
        <v>2</v>
      </c>
      <c r="T174" s="359"/>
      <c r="U174" s="359"/>
      <c r="V174" s="378"/>
      <c r="W174" s="365"/>
      <c r="X174" s="364"/>
      <c r="Y174" s="363"/>
      <c r="Z174" s="362"/>
      <c r="AA174" s="366"/>
      <c r="AB174" s="367"/>
      <c r="AC174" s="357"/>
    </row>
    <row r="175" spans="1:29" ht="15.75" customHeight="1">
      <c r="A175" s="885"/>
      <c r="B175" s="358" t="s">
        <v>362</v>
      </c>
      <c r="C175" s="359"/>
      <c r="D175" s="359" t="s">
        <v>261</v>
      </c>
      <c r="E175" s="359"/>
      <c r="F175" s="359"/>
      <c r="G175" s="369">
        <v>3</v>
      </c>
      <c r="H175" s="370">
        <f t="shared" si="28"/>
        <v>90</v>
      </c>
      <c r="I175" s="360">
        <f>J175+K175+L175</f>
        <v>36</v>
      </c>
      <c r="J175" s="360">
        <v>18</v>
      </c>
      <c r="K175" s="360"/>
      <c r="L175" s="360">
        <v>18</v>
      </c>
      <c r="M175" s="560">
        <f t="shared" si="30"/>
        <v>54</v>
      </c>
      <c r="N175" s="566"/>
      <c r="O175" s="359"/>
      <c r="P175" s="378"/>
      <c r="Q175" s="368"/>
      <c r="R175" s="359">
        <v>2</v>
      </c>
      <c r="S175" s="378">
        <v>2</v>
      </c>
      <c r="T175" s="359"/>
      <c r="U175" s="359"/>
      <c r="V175" s="378"/>
      <c r="W175" s="365"/>
      <c r="X175" s="364"/>
      <c r="Y175" s="363"/>
      <c r="Z175" s="362"/>
      <c r="AA175" s="366"/>
      <c r="AB175" s="367"/>
      <c r="AC175" s="357"/>
    </row>
    <row r="176" spans="1:29" ht="15.75" customHeight="1">
      <c r="A176" s="885"/>
      <c r="B176" s="358" t="s">
        <v>363</v>
      </c>
      <c r="C176" s="359"/>
      <c r="D176" s="359" t="s">
        <v>261</v>
      </c>
      <c r="E176" s="359"/>
      <c r="F176" s="359"/>
      <c r="G176" s="369">
        <v>3</v>
      </c>
      <c r="H176" s="370">
        <f t="shared" si="28"/>
        <v>90</v>
      </c>
      <c r="I176" s="360">
        <f t="shared" si="29"/>
        <v>36</v>
      </c>
      <c r="J176" s="360">
        <v>18</v>
      </c>
      <c r="K176" s="360"/>
      <c r="L176" s="360">
        <v>18</v>
      </c>
      <c r="M176" s="560">
        <f t="shared" si="30"/>
        <v>54</v>
      </c>
      <c r="N176" s="566"/>
      <c r="O176" s="359"/>
      <c r="P176" s="378"/>
      <c r="Q176" s="368"/>
      <c r="R176" s="359">
        <v>2</v>
      </c>
      <c r="S176" s="378">
        <v>2</v>
      </c>
      <c r="T176" s="359"/>
      <c r="U176" s="359"/>
      <c r="V176" s="378"/>
      <c r="W176" s="365"/>
      <c r="X176" s="364"/>
      <c r="Y176" s="363"/>
      <c r="Z176" s="362"/>
      <c r="AA176" s="366"/>
      <c r="AB176" s="367"/>
      <c r="AC176" s="357"/>
    </row>
    <row r="177" spans="1:29" ht="15.75" customHeight="1">
      <c r="A177" s="885"/>
      <c r="B177" s="358" t="s">
        <v>307</v>
      </c>
      <c r="C177" s="359"/>
      <c r="D177" s="359" t="s">
        <v>261</v>
      </c>
      <c r="E177" s="359"/>
      <c r="F177" s="359"/>
      <c r="G177" s="369">
        <v>3</v>
      </c>
      <c r="H177" s="370">
        <f t="shared" si="28"/>
        <v>90</v>
      </c>
      <c r="I177" s="360">
        <f t="shared" si="29"/>
        <v>36</v>
      </c>
      <c r="J177" s="360">
        <v>18</v>
      </c>
      <c r="K177" s="360"/>
      <c r="L177" s="360">
        <v>18</v>
      </c>
      <c r="M177" s="560">
        <f t="shared" si="30"/>
        <v>54</v>
      </c>
      <c r="N177" s="566"/>
      <c r="O177" s="359"/>
      <c r="P177" s="378"/>
      <c r="Q177" s="368"/>
      <c r="R177" s="359">
        <v>2</v>
      </c>
      <c r="S177" s="378">
        <v>2</v>
      </c>
      <c r="T177" s="359"/>
      <c r="U177" s="359"/>
      <c r="V177" s="378"/>
      <c r="W177" s="365"/>
      <c r="X177" s="364"/>
      <c r="Y177" s="363"/>
      <c r="Z177" s="362"/>
      <c r="AA177" s="366"/>
      <c r="AB177" s="367"/>
      <c r="AC177" s="357"/>
    </row>
    <row r="178" spans="1:29" ht="15.75" customHeight="1" thickBot="1">
      <c r="A178" s="886"/>
      <c r="B178" s="379" t="s">
        <v>303</v>
      </c>
      <c r="C178" s="380"/>
      <c r="D178" s="359" t="s">
        <v>261</v>
      </c>
      <c r="E178" s="380"/>
      <c r="F178" s="380"/>
      <c r="G178" s="381">
        <v>3</v>
      </c>
      <c r="H178" s="382">
        <f t="shared" si="28"/>
        <v>90</v>
      </c>
      <c r="I178" s="383">
        <f t="shared" si="29"/>
        <v>36</v>
      </c>
      <c r="J178" s="360">
        <v>18</v>
      </c>
      <c r="K178" s="360"/>
      <c r="L178" s="360">
        <v>18</v>
      </c>
      <c r="M178" s="560">
        <f t="shared" si="30"/>
        <v>54</v>
      </c>
      <c r="N178" s="567"/>
      <c r="O178" s="380"/>
      <c r="P178" s="384"/>
      <c r="Q178" s="368"/>
      <c r="R178" s="359">
        <v>2</v>
      </c>
      <c r="S178" s="378">
        <v>2</v>
      </c>
      <c r="T178" s="380"/>
      <c r="U178" s="380"/>
      <c r="V178" s="384"/>
      <c r="W178" s="365"/>
      <c r="X178" s="364"/>
      <c r="Y178" s="363"/>
      <c r="Z178" s="362"/>
      <c r="AA178" s="366"/>
      <c r="AB178" s="367"/>
      <c r="AC178" s="357"/>
    </row>
    <row r="179" spans="1:52" s="143" customFormat="1" ht="18.75" customHeight="1" thickBot="1">
      <c r="A179" s="799" t="s">
        <v>290</v>
      </c>
      <c r="B179" s="800"/>
      <c r="C179" s="800"/>
      <c r="D179" s="800"/>
      <c r="E179" s="800"/>
      <c r="F179" s="800"/>
      <c r="G179" s="800"/>
      <c r="H179" s="800"/>
      <c r="I179" s="800"/>
      <c r="J179" s="800"/>
      <c r="K179" s="800"/>
      <c r="L179" s="800"/>
      <c r="M179" s="800"/>
      <c r="N179" s="801"/>
      <c r="O179" s="801"/>
      <c r="P179" s="801"/>
      <c r="Q179" s="800"/>
      <c r="R179" s="800"/>
      <c r="S179" s="800"/>
      <c r="T179" s="800"/>
      <c r="U179" s="800"/>
      <c r="V179" s="800"/>
      <c r="W179" s="802"/>
      <c r="X179" s="802"/>
      <c r="Y179" s="802"/>
      <c r="Z179" s="802"/>
      <c r="AA179" s="802"/>
      <c r="AB179" s="803"/>
      <c r="AW179" s="351"/>
      <c r="AX179" s="536"/>
      <c r="AY179" s="536"/>
      <c r="AZ179" s="351"/>
    </row>
    <row r="180" spans="1:29" ht="15.75" customHeight="1">
      <c r="A180" s="793" t="s">
        <v>317</v>
      </c>
      <c r="B180" s="462" t="s">
        <v>320</v>
      </c>
      <c r="C180" s="463"/>
      <c r="D180" s="372"/>
      <c r="E180" s="372"/>
      <c r="F180" s="377"/>
      <c r="G180" s="464">
        <v>6</v>
      </c>
      <c r="H180" s="465">
        <f aca="true" t="shared" si="31" ref="H180:H186">G180*30</f>
        <v>180</v>
      </c>
      <c r="I180" s="520"/>
      <c r="J180" s="375"/>
      <c r="K180" s="375"/>
      <c r="L180" s="375"/>
      <c r="M180" s="559"/>
      <c r="N180" s="606"/>
      <c r="O180" s="479"/>
      <c r="P180" s="480"/>
      <c r="Q180" s="562">
        <v>5</v>
      </c>
      <c r="R180" s="479"/>
      <c r="S180" s="617"/>
      <c r="T180" s="606"/>
      <c r="U180" s="479"/>
      <c r="V180" s="480"/>
      <c r="W180" s="357"/>
      <c r="X180" s="357"/>
      <c r="Y180" s="357"/>
      <c r="Z180" s="357"/>
      <c r="AA180" s="357"/>
      <c r="AB180" s="357"/>
      <c r="AC180" s="357"/>
    </row>
    <row r="181" spans="1:29" ht="15.75" customHeight="1" hidden="1">
      <c r="A181" s="794"/>
      <c r="B181" s="466"/>
      <c r="C181" s="81"/>
      <c r="D181" s="4"/>
      <c r="E181" s="4"/>
      <c r="F181" s="4"/>
      <c r="G181" s="442"/>
      <c r="H181" s="442"/>
      <c r="I181" s="81"/>
      <c r="J181" s="4"/>
      <c r="K181" s="4"/>
      <c r="L181" s="4"/>
      <c r="M181" s="27"/>
      <c r="N181" s="31"/>
      <c r="O181" s="4"/>
      <c r="P181" s="32"/>
      <c r="Q181" s="368"/>
      <c r="R181" s="359"/>
      <c r="S181" s="618"/>
      <c r="T181" s="566"/>
      <c r="U181" s="359"/>
      <c r="V181" s="378"/>
      <c r="W181" s="357"/>
      <c r="X181" s="357"/>
      <c r="Y181" s="357"/>
      <c r="Z181" s="357"/>
      <c r="AA181" s="357"/>
      <c r="AB181" s="357"/>
      <c r="AC181" s="357"/>
    </row>
    <row r="182" spans="1:29" ht="15.75" customHeight="1" hidden="1">
      <c r="A182" s="794"/>
      <c r="B182" s="630"/>
      <c r="C182" s="81"/>
      <c r="D182" s="5"/>
      <c r="E182" s="4"/>
      <c r="F182" s="4"/>
      <c r="G182" s="442"/>
      <c r="H182" s="442"/>
      <c r="I182" s="81"/>
      <c r="J182" s="4"/>
      <c r="K182" s="4"/>
      <c r="L182" s="4"/>
      <c r="M182" s="27"/>
      <c r="N182" s="31"/>
      <c r="O182" s="4"/>
      <c r="P182" s="32"/>
      <c r="Q182" s="368"/>
      <c r="R182" s="359"/>
      <c r="S182" s="618"/>
      <c r="T182" s="566"/>
      <c r="U182" s="359"/>
      <c r="V182" s="378"/>
      <c r="W182" s="357"/>
      <c r="X182" s="357"/>
      <c r="Y182" s="357"/>
      <c r="Z182" s="357"/>
      <c r="AA182" s="357"/>
      <c r="AB182" s="357"/>
      <c r="AC182" s="357"/>
    </row>
    <row r="183" spans="1:29" ht="15.75" customHeight="1">
      <c r="A183" s="794"/>
      <c r="B183" s="630" t="s">
        <v>385</v>
      </c>
      <c r="C183" s="81"/>
      <c r="D183" s="4">
        <v>3</v>
      </c>
      <c r="E183" s="4"/>
      <c r="F183" s="4"/>
      <c r="G183" s="442">
        <v>3</v>
      </c>
      <c r="H183" s="442">
        <f t="shared" si="31"/>
        <v>90</v>
      </c>
      <c r="I183" s="81">
        <v>20</v>
      </c>
      <c r="J183" s="4">
        <v>30</v>
      </c>
      <c r="K183" s="4"/>
      <c r="L183" s="4">
        <v>15</v>
      </c>
      <c r="M183" s="27">
        <f>H183-I183</f>
        <v>70</v>
      </c>
      <c r="N183" s="31"/>
      <c r="O183" s="4"/>
      <c r="P183" s="32"/>
      <c r="Q183" s="368">
        <v>3</v>
      </c>
      <c r="R183" s="359"/>
      <c r="S183" s="618"/>
      <c r="T183" s="566"/>
      <c r="U183" s="359"/>
      <c r="V183" s="378"/>
      <c r="W183" s="357"/>
      <c r="X183" s="357"/>
      <c r="Y183" s="357"/>
      <c r="Z183" s="357"/>
      <c r="AA183" s="357"/>
      <c r="AB183" s="357"/>
      <c r="AC183" s="357"/>
    </row>
    <row r="184" spans="1:29" ht="15.75" customHeight="1">
      <c r="A184" s="794"/>
      <c r="B184" s="466" t="s">
        <v>341</v>
      </c>
      <c r="C184" s="81"/>
      <c r="D184" s="4">
        <v>3</v>
      </c>
      <c r="E184" s="4"/>
      <c r="F184" s="410"/>
      <c r="G184" s="470">
        <v>3</v>
      </c>
      <c r="H184" s="470">
        <f t="shared" si="31"/>
        <v>90</v>
      </c>
      <c r="I184" s="64">
        <f>SUMPRODUCT(N184:Y184,$N$7:$Y$7)</f>
        <v>30</v>
      </c>
      <c r="J184" s="4">
        <v>15</v>
      </c>
      <c r="K184" s="4">
        <v>15</v>
      </c>
      <c r="L184" s="4"/>
      <c r="M184" s="27">
        <f>H184-I184</f>
        <v>60</v>
      </c>
      <c r="N184" s="31"/>
      <c r="O184" s="4"/>
      <c r="P184" s="32"/>
      <c r="Q184" s="368">
        <v>2</v>
      </c>
      <c r="R184" s="359"/>
      <c r="S184" s="618"/>
      <c r="T184" s="566"/>
      <c r="U184" s="359"/>
      <c r="V184" s="378"/>
      <c r="W184" s="357"/>
      <c r="X184" s="357"/>
      <c r="Y184" s="357"/>
      <c r="Z184" s="357"/>
      <c r="AA184" s="357"/>
      <c r="AB184" s="357"/>
      <c r="AC184" s="357"/>
    </row>
    <row r="185" spans="1:29" ht="15.75" customHeight="1">
      <c r="A185" s="794"/>
      <c r="B185" s="601" t="s">
        <v>344</v>
      </c>
      <c r="C185" s="64"/>
      <c r="D185" s="4">
        <v>3</v>
      </c>
      <c r="E185" s="4"/>
      <c r="F185" s="410"/>
      <c r="G185" s="470">
        <v>3</v>
      </c>
      <c r="H185" s="470">
        <f t="shared" si="31"/>
        <v>90</v>
      </c>
      <c r="I185" s="64">
        <f>SUMPRODUCT(N185:Y185,$N$7:$Y$7)</f>
        <v>30</v>
      </c>
      <c r="J185" s="4">
        <v>15</v>
      </c>
      <c r="K185" s="4">
        <v>15</v>
      </c>
      <c r="L185" s="4"/>
      <c r="M185" s="27">
        <f>H185-I185</f>
        <v>60</v>
      </c>
      <c r="N185" s="31"/>
      <c r="O185" s="4"/>
      <c r="P185" s="32"/>
      <c r="Q185" s="368">
        <v>2</v>
      </c>
      <c r="R185" s="359"/>
      <c r="S185" s="618"/>
      <c r="T185" s="566"/>
      <c r="U185" s="359"/>
      <c r="V185" s="378"/>
      <c r="W185" s="357"/>
      <c r="X185" s="357"/>
      <c r="Y185" s="357"/>
      <c r="Z185" s="357"/>
      <c r="AA185" s="357"/>
      <c r="AB185" s="357"/>
      <c r="AC185" s="357"/>
    </row>
    <row r="186" spans="1:29" ht="15.75" customHeight="1">
      <c r="A186" s="794"/>
      <c r="B186" s="468" t="s">
        <v>318</v>
      </c>
      <c r="C186" s="64"/>
      <c r="D186" s="5">
        <v>3</v>
      </c>
      <c r="E186" s="4"/>
      <c r="F186" s="469"/>
      <c r="G186" s="470">
        <v>6</v>
      </c>
      <c r="H186" s="442">
        <f t="shared" si="31"/>
        <v>180</v>
      </c>
      <c r="I186" s="64">
        <v>20</v>
      </c>
      <c r="J186" s="4"/>
      <c r="K186" s="4"/>
      <c r="L186" s="4">
        <v>20</v>
      </c>
      <c r="M186" s="27">
        <f>H186-I186</f>
        <v>160</v>
      </c>
      <c r="N186" s="566"/>
      <c r="O186" s="359"/>
      <c r="P186" s="378"/>
      <c r="Q186" s="368">
        <v>5</v>
      </c>
      <c r="R186" s="359"/>
      <c r="S186" s="618"/>
      <c r="T186" s="566"/>
      <c r="U186" s="359"/>
      <c r="V186" s="378"/>
      <c r="W186" s="357"/>
      <c r="X186" s="357"/>
      <c r="Y186" s="357"/>
      <c r="Z186" s="357"/>
      <c r="AA186" s="357"/>
      <c r="AB186" s="357"/>
      <c r="AC186" s="357"/>
    </row>
    <row r="187" spans="1:29" ht="15.75" customHeight="1" thickBot="1">
      <c r="A187" s="795"/>
      <c r="B187" s="471" t="s">
        <v>303</v>
      </c>
      <c r="C187" s="472"/>
      <c r="D187" s="473">
        <v>3</v>
      </c>
      <c r="E187" s="473"/>
      <c r="F187" s="474"/>
      <c r="G187" s="475">
        <v>3</v>
      </c>
      <c r="H187" s="476">
        <f aca="true" t="shared" si="32" ref="H187:H192">G187*30</f>
        <v>90</v>
      </c>
      <c r="I187" s="477"/>
      <c r="J187" s="478"/>
      <c r="K187" s="478"/>
      <c r="L187" s="478"/>
      <c r="M187" s="603"/>
      <c r="N187" s="567"/>
      <c r="O187" s="380"/>
      <c r="P187" s="384"/>
      <c r="Q187" s="564"/>
      <c r="R187" s="380"/>
      <c r="S187" s="619"/>
      <c r="T187" s="567"/>
      <c r="U187" s="380"/>
      <c r="V187" s="384"/>
      <c r="W187" s="357"/>
      <c r="X187" s="357"/>
      <c r="Y187" s="357"/>
      <c r="Z187" s="357"/>
      <c r="AA187" s="357"/>
      <c r="AB187" s="357"/>
      <c r="AC187" s="357"/>
    </row>
    <row r="188" spans="1:29" ht="15.75" customHeight="1">
      <c r="A188" s="793" t="s">
        <v>319</v>
      </c>
      <c r="B188" s="462" t="s">
        <v>323</v>
      </c>
      <c r="C188" s="463"/>
      <c r="D188" s="372"/>
      <c r="E188" s="372"/>
      <c r="F188" s="377"/>
      <c r="G188" s="464">
        <v>11</v>
      </c>
      <c r="H188" s="465">
        <f t="shared" si="32"/>
        <v>330</v>
      </c>
      <c r="I188" s="610">
        <f>SUM(I189:I190)</f>
        <v>108</v>
      </c>
      <c r="J188" s="610">
        <f>SUM(J189:J190)</f>
        <v>54</v>
      </c>
      <c r="K188" s="610">
        <f>SUM(K189:K190)</f>
        <v>54</v>
      </c>
      <c r="L188" s="610">
        <f>SUM(L189:L191)</f>
        <v>0</v>
      </c>
      <c r="M188" s="611">
        <f>H188-I188</f>
        <v>222</v>
      </c>
      <c r="N188" s="606"/>
      <c r="O188" s="479"/>
      <c r="P188" s="480"/>
      <c r="Q188" s="562"/>
      <c r="R188" s="613">
        <v>12</v>
      </c>
      <c r="S188" s="617"/>
      <c r="T188" s="606"/>
      <c r="U188" s="479"/>
      <c r="V188" s="480"/>
      <c r="W188" s="357"/>
      <c r="X188" s="357"/>
      <c r="Y188" s="357"/>
      <c r="Z188" s="357"/>
      <c r="AA188" s="357"/>
      <c r="AB188" s="357"/>
      <c r="AC188" s="357"/>
    </row>
    <row r="189" spans="1:29" ht="15.75" customHeight="1">
      <c r="A189" s="794"/>
      <c r="B189" s="468" t="s">
        <v>321</v>
      </c>
      <c r="C189" s="81"/>
      <c r="D189" s="5" t="s">
        <v>260</v>
      </c>
      <c r="E189" s="5"/>
      <c r="F189" s="410"/>
      <c r="G189" s="470">
        <v>4</v>
      </c>
      <c r="H189" s="442">
        <f t="shared" si="32"/>
        <v>120</v>
      </c>
      <c r="I189" s="64">
        <f>SUMPRODUCT(N189:Y189,$N$7:$Y$7)</f>
        <v>36</v>
      </c>
      <c r="J189" s="4">
        <v>18</v>
      </c>
      <c r="K189" s="4">
        <v>18</v>
      </c>
      <c r="L189" s="4"/>
      <c r="M189" s="32">
        <f>H189-I189</f>
        <v>84</v>
      </c>
      <c r="N189" s="566"/>
      <c r="O189" s="359"/>
      <c r="P189" s="378"/>
      <c r="Q189" s="368"/>
      <c r="R189" s="4">
        <v>4</v>
      </c>
      <c r="S189" s="618"/>
      <c r="T189" s="566"/>
      <c r="U189" s="359"/>
      <c r="V189" s="378"/>
      <c r="W189" s="357"/>
      <c r="X189" s="357"/>
      <c r="Y189" s="357"/>
      <c r="Z189" s="357"/>
      <c r="AA189" s="357"/>
      <c r="AB189" s="357"/>
      <c r="AC189" s="357"/>
    </row>
    <row r="190" spans="1:29" ht="15.75" customHeight="1">
      <c r="A190" s="794"/>
      <c r="B190" s="636" t="s">
        <v>372</v>
      </c>
      <c r="C190" s="81"/>
      <c r="D190" s="5" t="s">
        <v>260</v>
      </c>
      <c r="E190" s="5"/>
      <c r="F190" s="410"/>
      <c r="G190" s="637">
        <v>7</v>
      </c>
      <c r="H190" s="470">
        <f t="shared" si="32"/>
        <v>210</v>
      </c>
      <c r="I190" s="64">
        <f>SUMPRODUCT(N190:Y190,$N$7:$Y$7)</f>
        <v>72</v>
      </c>
      <c r="J190" s="7">
        <v>36</v>
      </c>
      <c r="K190" s="7">
        <v>36</v>
      </c>
      <c r="L190" s="7"/>
      <c r="M190" s="29">
        <f>H190-I190</f>
        <v>138</v>
      </c>
      <c r="N190" s="566"/>
      <c r="O190" s="359"/>
      <c r="P190" s="378"/>
      <c r="Q190" s="368"/>
      <c r="R190" s="7">
        <v>8</v>
      </c>
      <c r="S190" s="618"/>
      <c r="T190" s="566"/>
      <c r="U190" s="359"/>
      <c r="V190" s="378"/>
      <c r="W190" s="357"/>
      <c r="X190" s="357"/>
      <c r="Y190" s="357"/>
      <c r="Z190" s="357"/>
      <c r="AA190" s="357"/>
      <c r="AB190" s="357"/>
      <c r="AC190" s="357"/>
    </row>
    <row r="191" spans="1:29" ht="15.75" customHeight="1">
      <c r="A191" s="794"/>
      <c r="B191" s="468" t="s">
        <v>373</v>
      </c>
      <c r="C191" s="81"/>
      <c r="D191" s="5" t="s">
        <v>260</v>
      </c>
      <c r="E191" s="5"/>
      <c r="F191" s="410"/>
      <c r="G191" s="470">
        <v>4</v>
      </c>
      <c r="H191" s="442">
        <f t="shared" si="32"/>
        <v>120</v>
      </c>
      <c r="I191" s="64">
        <f>SUMPRODUCT(N191:Y191,$N$7:$Y$7)</f>
        <v>36</v>
      </c>
      <c r="J191" s="4">
        <v>18</v>
      </c>
      <c r="K191" s="4">
        <v>18</v>
      </c>
      <c r="L191" s="4"/>
      <c r="M191" s="32">
        <f>H191-I191</f>
        <v>84</v>
      </c>
      <c r="N191" s="566"/>
      <c r="O191" s="359"/>
      <c r="P191" s="378"/>
      <c r="Q191" s="368"/>
      <c r="R191" s="4">
        <v>4</v>
      </c>
      <c r="S191" s="618"/>
      <c r="T191" s="566"/>
      <c r="U191" s="359"/>
      <c r="V191" s="378"/>
      <c r="W191" s="357"/>
      <c r="X191" s="357"/>
      <c r="Y191" s="357"/>
      <c r="Z191" s="357"/>
      <c r="AA191" s="357"/>
      <c r="AB191" s="357"/>
      <c r="AC191" s="357"/>
    </row>
    <row r="192" spans="1:29" ht="15.75" customHeight="1">
      <c r="A192" s="794"/>
      <c r="B192" s="468" t="s">
        <v>318</v>
      </c>
      <c r="C192" s="81"/>
      <c r="D192" s="5" t="s">
        <v>260</v>
      </c>
      <c r="E192" s="4"/>
      <c r="F192" s="469"/>
      <c r="G192" s="470">
        <v>11</v>
      </c>
      <c r="H192" s="442">
        <f t="shared" si="32"/>
        <v>330</v>
      </c>
      <c r="I192" s="64">
        <f>SUMPRODUCT(N192:Y192,$N$7:$Y$7)</f>
        <v>108</v>
      </c>
      <c r="J192" s="4"/>
      <c r="K192" s="4"/>
      <c r="L192" s="4">
        <v>144</v>
      </c>
      <c r="M192" s="32">
        <f>H192-I192</f>
        <v>222</v>
      </c>
      <c r="N192" s="566"/>
      <c r="O192" s="359"/>
      <c r="P192" s="378"/>
      <c r="Q192" s="368"/>
      <c r="R192" s="4">
        <v>12</v>
      </c>
      <c r="S192" s="618"/>
      <c r="T192" s="566"/>
      <c r="U192" s="359"/>
      <c r="V192" s="378"/>
      <c r="W192" s="357"/>
      <c r="X192" s="357"/>
      <c r="Y192" s="357"/>
      <c r="Z192" s="357"/>
      <c r="AA192" s="357"/>
      <c r="AB192" s="357"/>
      <c r="AC192" s="357"/>
    </row>
    <row r="193" spans="1:29" ht="15.75" customHeight="1" thickBot="1">
      <c r="A193" s="795"/>
      <c r="B193" s="471" t="s">
        <v>303</v>
      </c>
      <c r="C193" s="472"/>
      <c r="D193" s="473" t="s">
        <v>260</v>
      </c>
      <c r="E193" s="473"/>
      <c r="F193" s="474"/>
      <c r="G193" s="475">
        <v>4</v>
      </c>
      <c r="H193" s="476">
        <f>G193*30</f>
        <v>120</v>
      </c>
      <c r="I193" s="477"/>
      <c r="J193" s="478"/>
      <c r="K193" s="478"/>
      <c r="L193" s="478"/>
      <c r="M193" s="612"/>
      <c r="N193" s="567"/>
      <c r="O193" s="380"/>
      <c r="P193" s="384"/>
      <c r="Q193" s="564"/>
      <c r="R193" s="614"/>
      <c r="S193" s="619"/>
      <c r="T193" s="567"/>
      <c r="U193" s="380"/>
      <c r="V193" s="384"/>
      <c r="W193" s="357"/>
      <c r="X193" s="357"/>
      <c r="Y193" s="357"/>
      <c r="Z193" s="357"/>
      <c r="AA193" s="357"/>
      <c r="AB193" s="357"/>
      <c r="AC193" s="357"/>
    </row>
    <row r="194" spans="1:29" ht="15.75" customHeight="1">
      <c r="A194" s="793" t="s">
        <v>322</v>
      </c>
      <c r="B194" s="462" t="s">
        <v>374</v>
      </c>
      <c r="C194" s="463"/>
      <c r="D194" s="372"/>
      <c r="E194" s="372"/>
      <c r="F194" s="377"/>
      <c r="G194" s="464">
        <v>7</v>
      </c>
      <c r="H194" s="465">
        <f>G194*30</f>
        <v>210</v>
      </c>
      <c r="I194" s="610">
        <f>SUM(I195,I197)</f>
        <v>72</v>
      </c>
      <c r="J194" s="610">
        <f>SUM(J195,J197)</f>
        <v>27</v>
      </c>
      <c r="K194" s="610">
        <f>SUM(K195,K197)</f>
        <v>27</v>
      </c>
      <c r="L194" s="610">
        <f>SUM(L195,L197)</f>
        <v>18</v>
      </c>
      <c r="M194" s="610">
        <f>SUM(M195,M197)</f>
        <v>138</v>
      </c>
      <c r="N194" s="606"/>
      <c r="O194" s="479"/>
      <c r="P194" s="480"/>
      <c r="Q194" s="562"/>
      <c r="R194" s="613"/>
      <c r="S194" s="620">
        <v>8</v>
      </c>
      <c r="T194" s="606"/>
      <c r="U194" s="479"/>
      <c r="V194" s="480"/>
      <c r="W194" s="357"/>
      <c r="X194" s="357"/>
      <c r="Y194" s="357"/>
      <c r="Z194" s="357"/>
      <c r="AA194" s="357"/>
      <c r="AB194" s="357"/>
      <c r="AC194" s="357"/>
    </row>
    <row r="195" spans="1:29" ht="15.75" customHeight="1">
      <c r="A195" s="794"/>
      <c r="B195" s="468" t="s">
        <v>375</v>
      </c>
      <c r="C195" s="64"/>
      <c r="D195" s="4"/>
      <c r="E195" s="4"/>
      <c r="F195" s="615" t="s">
        <v>261</v>
      </c>
      <c r="G195" s="470">
        <v>1</v>
      </c>
      <c r="H195" s="442">
        <f>G195*30</f>
        <v>30</v>
      </c>
      <c r="I195" s="64">
        <f>SUMPRODUCT(N195:Y195,$N$7:$Y$7)</f>
        <v>18</v>
      </c>
      <c r="J195" s="4"/>
      <c r="K195" s="4"/>
      <c r="L195" s="4">
        <v>18</v>
      </c>
      <c r="M195" s="32">
        <f>H195-I195</f>
        <v>12</v>
      </c>
      <c r="N195" s="566"/>
      <c r="O195" s="359"/>
      <c r="P195" s="378"/>
      <c r="Q195" s="368"/>
      <c r="R195" s="4"/>
      <c r="S195" s="27">
        <v>2</v>
      </c>
      <c r="T195" s="566"/>
      <c r="U195" s="359"/>
      <c r="V195" s="378"/>
      <c r="W195" s="357"/>
      <c r="X195" s="357"/>
      <c r="Y195" s="357"/>
      <c r="Z195" s="357"/>
      <c r="AA195" s="357"/>
      <c r="AB195" s="357"/>
      <c r="AC195" s="357"/>
    </row>
    <row r="196" spans="1:29" ht="15.75" customHeight="1">
      <c r="A196" s="794"/>
      <c r="B196" s="468" t="s">
        <v>318</v>
      </c>
      <c r="C196" s="64"/>
      <c r="D196" s="4" t="s">
        <v>261</v>
      </c>
      <c r="E196" s="4"/>
      <c r="F196" s="469"/>
      <c r="G196" s="470">
        <v>1</v>
      </c>
      <c r="H196" s="470">
        <f>30*G196</f>
        <v>30</v>
      </c>
      <c r="I196" s="64">
        <f>SUMPRODUCT(N196:Y196,$N$7:$Y$7)</f>
        <v>18</v>
      </c>
      <c r="J196" s="4"/>
      <c r="K196" s="4"/>
      <c r="L196" s="4">
        <v>54</v>
      </c>
      <c r="M196" s="32">
        <f>H196-I196</f>
        <v>12</v>
      </c>
      <c r="N196" s="566"/>
      <c r="O196" s="359"/>
      <c r="P196" s="378"/>
      <c r="Q196" s="368"/>
      <c r="R196" s="7"/>
      <c r="S196" s="27">
        <v>2</v>
      </c>
      <c r="T196" s="566"/>
      <c r="U196" s="359"/>
      <c r="V196" s="378"/>
      <c r="W196" s="357"/>
      <c r="X196" s="357"/>
      <c r="Y196" s="357"/>
      <c r="Z196" s="357"/>
      <c r="AA196" s="357"/>
      <c r="AB196" s="357"/>
      <c r="AC196" s="357"/>
    </row>
    <row r="197" spans="1:29" ht="15.75" customHeight="1">
      <c r="A197" s="794"/>
      <c r="B197" s="616" t="s">
        <v>324</v>
      </c>
      <c r="C197" s="64"/>
      <c r="D197" s="4" t="s">
        <v>261</v>
      </c>
      <c r="E197" s="4"/>
      <c r="F197" s="27"/>
      <c r="G197" s="470">
        <f>H197/30</f>
        <v>6</v>
      </c>
      <c r="H197" s="470">
        <v>180</v>
      </c>
      <c r="I197" s="64">
        <f>SUMPRODUCT(N197:Y197,$N$7:$Y$7)</f>
        <v>54</v>
      </c>
      <c r="J197" s="4">
        <v>27</v>
      </c>
      <c r="K197" s="4">
        <v>27</v>
      </c>
      <c r="L197" s="4"/>
      <c r="M197" s="32">
        <f>H197-I197</f>
        <v>126</v>
      </c>
      <c r="N197" s="566"/>
      <c r="O197" s="359"/>
      <c r="P197" s="378"/>
      <c r="Q197" s="368"/>
      <c r="R197" s="4"/>
      <c r="S197" s="27">
        <v>6</v>
      </c>
      <c r="T197" s="566"/>
      <c r="U197" s="359"/>
      <c r="V197" s="378"/>
      <c r="W197" s="357"/>
      <c r="X197" s="357"/>
      <c r="Y197" s="357"/>
      <c r="Z197" s="357"/>
      <c r="AA197" s="357"/>
      <c r="AB197" s="357"/>
      <c r="AC197" s="357"/>
    </row>
    <row r="198" spans="1:29" ht="15.75" customHeight="1">
      <c r="A198" s="794"/>
      <c r="B198" s="468" t="s">
        <v>376</v>
      </c>
      <c r="C198" s="64"/>
      <c r="D198" s="4" t="s">
        <v>261</v>
      </c>
      <c r="E198" s="4"/>
      <c r="F198" s="27"/>
      <c r="G198" s="470">
        <f>H198/30</f>
        <v>6</v>
      </c>
      <c r="H198" s="470">
        <v>180</v>
      </c>
      <c r="I198" s="64">
        <f>SUMPRODUCT(N198:Y198,$N$7:$Y$7)</f>
        <v>54</v>
      </c>
      <c r="J198" s="4">
        <v>27</v>
      </c>
      <c r="K198" s="4">
        <v>27</v>
      </c>
      <c r="L198" s="4"/>
      <c r="M198" s="32">
        <f>H198-I198</f>
        <v>126</v>
      </c>
      <c r="N198" s="566"/>
      <c r="O198" s="359"/>
      <c r="P198" s="378"/>
      <c r="Q198" s="368"/>
      <c r="R198" s="5"/>
      <c r="S198" s="27">
        <v>6</v>
      </c>
      <c r="T198" s="566"/>
      <c r="U198" s="359"/>
      <c r="V198" s="378"/>
      <c r="W198" s="357"/>
      <c r="X198" s="357"/>
      <c r="Y198" s="357"/>
      <c r="Z198" s="357"/>
      <c r="AA198" s="357"/>
      <c r="AB198" s="357"/>
      <c r="AC198" s="357"/>
    </row>
    <row r="199" spans="1:29" ht="15.75" customHeight="1" thickBot="1">
      <c r="A199" s="795"/>
      <c r="B199" s="471" t="s">
        <v>303</v>
      </c>
      <c r="C199" s="472"/>
      <c r="D199" s="473"/>
      <c r="E199" s="473"/>
      <c r="F199" s="474"/>
      <c r="G199" s="475">
        <v>7</v>
      </c>
      <c r="H199" s="476">
        <f>G199*30</f>
        <v>210</v>
      </c>
      <c r="I199" s="477"/>
      <c r="J199" s="478"/>
      <c r="K199" s="478"/>
      <c r="L199" s="478"/>
      <c r="M199" s="612"/>
      <c r="N199" s="566"/>
      <c r="O199" s="359"/>
      <c r="P199" s="378"/>
      <c r="Q199" s="368"/>
      <c r="R199" s="4"/>
      <c r="S199" s="621"/>
      <c r="T199" s="566"/>
      <c r="U199" s="359"/>
      <c r="V199" s="378"/>
      <c r="W199" s="357"/>
      <c r="X199" s="357"/>
      <c r="Y199" s="357"/>
      <c r="Z199" s="357"/>
      <c r="AA199" s="357"/>
      <c r="AB199" s="357"/>
      <c r="AC199" s="357"/>
    </row>
    <row r="200" spans="1:29" ht="15.75" customHeight="1">
      <c r="A200" s="793" t="s">
        <v>346</v>
      </c>
      <c r="B200" s="462" t="s">
        <v>379</v>
      </c>
      <c r="C200" s="463"/>
      <c r="D200" s="372"/>
      <c r="E200" s="372"/>
      <c r="F200" s="377"/>
      <c r="G200" s="464">
        <v>7</v>
      </c>
      <c r="H200" s="465">
        <f>G200*30</f>
        <v>210</v>
      </c>
      <c r="I200" s="610">
        <f>SUM(I201)</f>
        <v>30</v>
      </c>
      <c r="J200" s="610">
        <f>SUM(J201)</f>
        <v>15</v>
      </c>
      <c r="K200" s="610">
        <f>SUM(K201)</f>
        <v>15</v>
      </c>
      <c r="L200" s="610">
        <f>SUM(L201)</f>
        <v>0</v>
      </c>
      <c r="M200" s="610">
        <f>SUM(M201)</f>
        <v>60</v>
      </c>
      <c r="N200" s="606"/>
      <c r="O200" s="479"/>
      <c r="P200" s="480"/>
      <c r="Q200" s="562"/>
      <c r="R200" s="479"/>
      <c r="S200" s="617"/>
      <c r="T200" s="606">
        <v>6</v>
      </c>
      <c r="U200" s="479"/>
      <c r="V200" s="480"/>
      <c r="W200" s="357"/>
      <c r="X200" s="357"/>
      <c r="Y200" s="357"/>
      <c r="Z200" s="357"/>
      <c r="AA200" s="357"/>
      <c r="AB200" s="357"/>
      <c r="AC200" s="357"/>
    </row>
    <row r="201" spans="1:29" ht="15.75" customHeight="1">
      <c r="A201" s="794"/>
      <c r="B201" s="627" t="s">
        <v>377</v>
      </c>
      <c r="C201" s="81"/>
      <c r="D201" s="5">
        <v>5</v>
      </c>
      <c r="E201" s="5"/>
      <c r="F201" s="467"/>
      <c r="G201" s="470">
        <f>H201/30</f>
        <v>3</v>
      </c>
      <c r="H201" s="470">
        <v>90</v>
      </c>
      <c r="I201" s="64">
        <f>SUMPRODUCT(N201:Y201,$N$7:$Y$7)</f>
        <v>30</v>
      </c>
      <c r="J201" s="4">
        <v>15</v>
      </c>
      <c r="K201" s="4">
        <v>15</v>
      </c>
      <c r="L201" s="4"/>
      <c r="M201" s="32">
        <f>H201-I201</f>
        <v>60</v>
      </c>
      <c r="N201" s="566"/>
      <c r="O201" s="359"/>
      <c r="P201" s="378"/>
      <c r="Q201" s="368"/>
      <c r="R201" s="359"/>
      <c r="S201" s="618"/>
      <c r="T201" s="53">
        <v>2</v>
      </c>
      <c r="U201" s="359"/>
      <c r="V201" s="378"/>
      <c r="W201" s="357"/>
      <c r="X201" s="357"/>
      <c r="Y201" s="357"/>
      <c r="Z201" s="357"/>
      <c r="AA201" s="357"/>
      <c r="AB201" s="357"/>
      <c r="AC201" s="357"/>
    </row>
    <row r="202" spans="1:29" ht="15.75" customHeight="1">
      <c r="A202" s="794"/>
      <c r="B202" s="628" t="s">
        <v>378</v>
      </c>
      <c r="C202" s="64"/>
      <c r="D202" s="5">
        <v>5</v>
      </c>
      <c r="E202" s="4"/>
      <c r="F202" s="410"/>
      <c r="G202" s="470">
        <f>H202/30</f>
        <v>3</v>
      </c>
      <c r="H202" s="470">
        <v>90</v>
      </c>
      <c r="I202" s="64">
        <f>SUMPRODUCT(N202:Y202,$N$7:$Y$7)</f>
        <v>30</v>
      </c>
      <c r="J202" s="4">
        <v>15</v>
      </c>
      <c r="K202" s="4">
        <v>15</v>
      </c>
      <c r="L202" s="4"/>
      <c r="M202" s="32">
        <f>H202-I202</f>
        <v>60</v>
      </c>
      <c r="N202" s="566"/>
      <c r="O202" s="359"/>
      <c r="P202" s="378"/>
      <c r="Q202" s="368"/>
      <c r="R202" s="359"/>
      <c r="S202" s="618"/>
      <c r="T202" s="31">
        <v>2</v>
      </c>
      <c r="U202" s="359"/>
      <c r="V202" s="378"/>
      <c r="W202" s="357"/>
      <c r="X202" s="357"/>
      <c r="Y202" s="357"/>
      <c r="Z202" s="357"/>
      <c r="AA202" s="357"/>
      <c r="AB202" s="357"/>
      <c r="AC202" s="357"/>
    </row>
    <row r="203" spans="1:29" ht="15.75" customHeight="1">
      <c r="A203" s="794"/>
      <c r="B203" s="468" t="s">
        <v>394</v>
      </c>
      <c r="C203" s="629"/>
      <c r="D203" s="4">
        <v>5</v>
      </c>
      <c r="E203" s="400"/>
      <c r="F203" s="602"/>
      <c r="G203" s="470">
        <v>4</v>
      </c>
      <c r="H203" s="470">
        <f>G203*30</f>
        <v>120</v>
      </c>
      <c r="I203" s="64">
        <f>SUMPRODUCT(N203:Y203,$N$7:$Y$7)</f>
        <v>60</v>
      </c>
      <c r="J203" s="5">
        <v>30</v>
      </c>
      <c r="K203" s="5">
        <v>30</v>
      </c>
      <c r="L203" s="5"/>
      <c r="M203" s="52">
        <f>H203-I203</f>
        <v>60</v>
      </c>
      <c r="N203" s="31"/>
      <c r="O203" s="4"/>
      <c r="P203" s="32"/>
      <c r="Q203" s="368"/>
      <c r="R203" s="359"/>
      <c r="S203" s="618"/>
      <c r="T203" s="31">
        <v>4</v>
      </c>
      <c r="U203" s="359"/>
      <c r="V203" s="378"/>
      <c r="W203" s="357"/>
      <c r="X203" s="357"/>
      <c r="Y203" s="357"/>
      <c r="Z203" s="357"/>
      <c r="AA203" s="357"/>
      <c r="AB203" s="357"/>
      <c r="AC203" s="357"/>
    </row>
    <row r="204" spans="1:29" ht="15.75" customHeight="1">
      <c r="A204" s="794"/>
      <c r="B204" s="466" t="s">
        <v>318</v>
      </c>
      <c r="C204" s="64"/>
      <c r="D204" s="5">
        <v>5</v>
      </c>
      <c r="E204" s="4"/>
      <c r="F204" s="410"/>
      <c r="G204" s="470">
        <v>7</v>
      </c>
      <c r="H204" s="470">
        <v>90</v>
      </c>
      <c r="I204" s="31">
        <f>SUMPRODUCT(N204:Y204,$N$7:$Y$7)</f>
        <v>90</v>
      </c>
      <c r="J204" s="4"/>
      <c r="K204" s="4"/>
      <c r="L204" s="4"/>
      <c r="M204" s="32">
        <f>H204-I204</f>
        <v>0</v>
      </c>
      <c r="N204" s="566"/>
      <c r="O204" s="359"/>
      <c r="P204" s="378"/>
      <c r="Q204" s="368"/>
      <c r="R204" s="359"/>
      <c r="S204" s="618"/>
      <c r="T204" s="31">
        <v>6</v>
      </c>
      <c r="U204" s="359"/>
      <c r="V204" s="378"/>
      <c r="W204" s="357"/>
      <c r="X204" s="357"/>
      <c r="Y204" s="357"/>
      <c r="Z204" s="357"/>
      <c r="AA204" s="357"/>
      <c r="AB204" s="357"/>
      <c r="AC204" s="357"/>
    </row>
    <row r="205" spans="1:29" ht="15.75" customHeight="1" thickBot="1">
      <c r="A205" s="794"/>
      <c r="B205" s="471" t="s">
        <v>303</v>
      </c>
      <c r="C205" s="64"/>
      <c r="D205" s="5">
        <v>5</v>
      </c>
      <c r="E205" s="4"/>
      <c r="F205" s="469"/>
      <c r="G205" s="475">
        <v>3</v>
      </c>
      <c r="H205" s="476">
        <f>G205*30</f>
        <v>90</v>
      </c>
      <c r="I205" s="477"/>
      <c r="J205" s="478"/>
      <c r="K205" s="478"/>
      <c r="L205" s="478"/>
      <c r="M205" s="612"/>
      <c r="N205" s="566"/>
      <c r="O205" s="359"/>
      <c r="P205" s="378"/>
      <c r="Q205" s="368"/>
      <c r="R205" s="359"/>
      <c r="S205" s="618"/>
      <c r="T205" s="566"/>
      <c r="U205" s="359"/>
      <c r="V205" s="378"/>
      <c r="W205" s="357"/>
      <c r="X205" s="357"/>
      <c r="Y205" s="357"/>
      <c r="Z205" s="357"/>
      <c r="AA205" s="357"/>
      <c r="AB205" s="357"/>
      <c r="AC205" s="357"/>
    </row>
    <row r="206" spans="1:29" ht="15.75" customHeight="1">
      <c r="A206" s="793" t="s">
        <v>383</v>
      </c>
      <c r="B206" s="462" t="s">
        <v>381</v>
      </c>
      <c r="C206" s="463"/>
      <c r="D206" s="372"/>
      <c r="E206" s="372"/>
      <c r="F206" s="377"/>
      <c r="G206" s="464">
        <v>8</v>
      </c>
      <c r="H206" s="465">
        <f>G206*30</f>
        <v>240</v>
      </c>
      <c r="I206" s="610">
        <f>SUM(I207,I209)</f>
        <v>108</v>
      </c>
      <c r="J206" s="610">
        <f>SUM(J207,J209)</f>
        <v>54</v>
      </c>
      <c r="K206" s="610">
        <f>SUM(K207,K209)</f>
        <v>54</v>
      </c>
      <c r="L206" s="610">
        <f>SUM(L207,L209)</f>
        <v>0</v>
      </c>
      <c r="M206" s="610">
        <f>SUM(M207,M209)</f>
        <v>162</v>
      </c>
      <c r="N206" s="606"/>
      <c r="O206" s="479"/>
      <c r="P206" s="480"/>
      <c r="Q206" s="562"/>
      <c r="R206" s="479"/>
      <c r="S206" s="617"/>
      <c r="T206" s="606"/>
      <c r="U206" s="620">
        <v>12</v>
      </c>
      <c r="V206" s="480"/>
      <c r="W206" s="357"/>
      <c r="X206" s="357"/>
      <c r="Y206" s="357"/>
      <c r="Z206" s="357"/>
      <c r="AA206" s="357"/>
      <c r="AB206" s="357"/>
      <c r="AC206" s="357"/>
    </row>
    <row r="207" spans="1:29" ht="15.75" customHeight="1">
      <c r="A207" s="794"/>
      <c r="B207" s="628" t="s">
        <v>325</v>
      </c>
      <c r="C207" s="64"/>
      <c r="D207" s="4" t="s">
        <v>382</v>
      </c>
      <c r="E207" s="4"/>
      <c r="F207" s="410"/>
      <c r="G207" s="470">
        <v>4</v>
      </c>
      <c r="H207" s="81">
        <f>G207*30</f>
        <v>120</v>
      </c>
      <c r="I207" s="4">
        <f>SUMPRODUCT(N207:Y207,$N$7:$Y$7)</f>
        <v>54</v>
      </c>
      <c r="J207" s="4">
        <v>27</v>
      </c>
      <c r="K207" s="4">
        <v>27</v>
      </c>
      <c r="L207" s="4"/>
      <c r="M207" s="32">
        <f>H207-I207</f>
        <v>66</v>
      </c>
      <c r="N207" s="566"/>
      <c r="O207" s="359"/>
      <c r="P207" s="378"/>
      <c r="Q207" s="368"/>
      <c r="R207" s="359"/>
      <c r="S207" s="618"/>
      <c r="T207" s="566"/>
      <c r="U207" s="4">
        <v>6</v>
      </c>
      <c r="V207" s="378"/>
      <c r="W207" s="357"/>
      <c r="X207" s="357"/>
      <c r="Y207" s="357"/>
      <c r="Z207" s="357"/>
      <c r="AA207" s="357"/>
      <c r="AB207" s="357"/>
      <c r="AC207" s="357"/>
    </row>
    <row r="208" spans="1:29" ht="15.75" customHeight="1">
      <c r="A208" s="794"/>
      <c r="B208" s="468" t="s">
        <v>318</v>
      </c>
      <c r="C208" s="64"/>
      <c r="D208" s="4" t="s">
        <v>382</v>
      </c>
      <c r="E208" s="4"/>
      <c r="F208" s="469"/>
      <c r="G208" s="470">
        <v>4</v>
      </c>
      <c r="H208" s="64">
        <f>30*G208</f>
        <v>120</v>
      </c>
      <c r="I208" s="4">
        <f>SUMPRODUCT(N208:Y208,$N$7:$Y$7)</f>
        <v>54</v>
      </c>
      <c r="J208" s="4"/>
      <c r="K208" s="4"/>
      <c r="L208" s="4">
        <v>54</v>
      </c>
      <c r="M208" s="32">
        <f>H208-I208</f>
        <v>66</v>
      </c>
      <c r="N208" s="566"/>
      <c r="O208" s="359"/>
      <c r="P208" s="378"/>
      <c r="Q208" s="368"/>
      <c r="R208" s="359"/>
      <c r="S208" s="618"/>
      <c r="T208" s="566"/>
      <c r="U208" s="12">
        <v>6</v>
      </c>
      <c r="V208" s="378"/>
      <c r="W208" s="357"/>
      <c r="X208" s="357"/>
      <c r="Y208" s="357"/>
      <c r="Z208" s="357"/>
      <c r="AA208" s="357"/>
      <c r="AB208" s="357"/>
      <c r="AC208" s="357"/>
    </row>
    <row r="209" spans="1:29" ht="15.75" customHeight="1">
      <c r="A209" s="794"/>
      <c r="B209" s="468" t="s">
        <v>227</v>
      </c>
      <c r="C209" s="64"/>
      <c r="D209" s="4" t="s">
        <v>382</v>
      </c>
      <c r="E209" s="4"/>
      <c r="F209" s="27"/>
      <c r="G209" s="470">
        <v>4</v>
      </c>
      <c r="H209" s="31">
        <v>150</v>
      </c>
      <c r="I209" s="4">
        <f>SUMPRODUCT(N209:Y209,$N$7:$Y$7)</f>
        <v>54</v>
      </c>
      <c r="J209" s="4">
        <v>27</v>
      </c>
      <c r="K209" s="4">
        <v>27</v>
      </c>
      <c r="L209" s="4"/>
      <c r="M209" s="32">
        <f>H209-I209</f>
        <v>96</v>
      </c>
      <c r="N209" s="566"/>
      <c r="O209" s="359"/>
      <c r="P209" s="378"/>
      <c r="Q209" s="368"/>
      <c r="R209" s="359"/>
      <c r="S209" s="618"/>
      <c r="T209" s="566"/>
      <c r="U209" s="4">
        <v>6</v>
      </c>
      <c r="V209" s="378"/>
      <c r="W209" s="357"/>
      <c r="X209" s="357"/>
      <c r="Y209" s="357"/>
      <c r="Z209" s="357"/>
      <c r="AA209" s="357"/>
      <c r="AB209" s="357"/>
      <c r="AC209" s="357"/>
    </row>
    <row r="210" spans="1:29" ht="15.75" customHeight="1">
      <c r="A210" s="794"/>
      <c r="B210" s="466" t="s">
        <v>380</v>
      </c>
      <c r="C210" s="81"/>
      <c r="D210" s="4" t="s">
        <v>382</v>
      </c>
      <c r="E210" s="5"/>
      <c r="F210" s="52"/>
      <c r="G210" s="442">
        <v>4</v>
      </c>
      <c r="H210" s="53">
        <v>150</v>
      </c>
      <c r="I210" s="5">
        <f>SUMPRODUCT(N210:Y210,$N$7:$Y$7)</f>
        <v>54</v>
      </c>
      <c r="J210" s="5">
        <v>27</v>
      </c>
      <c r="K210" s="5">
        <v>27</v>
      </c>
      <c r="L210" s="5"/>
      <c r="M210" s="54">
        <f>H210-I210</f>
        <v>96</v>
      </c>
      <c r="N210" s="566"/>
      <c r="O210" s="359"/>
      <c r="P210" s="378"/>
      <c r="Q210" s="368"/>
      <c r="R210" s="359"/>
      <c r="S210" s="618"/>
      <c r="T210" s="566"/>
      <c r="U210" s="5">
        <v>6</v>
      </c>
      <c r="V210" s="378"/>
      <c r="W210" s="357"/>
      <c r="X210" s="357"/>
      <c r="Y210" s="357"/>
      <c r="Z210" s="357"/>
      <c r="AA210" s="357"/>
      <c r="AB210" s="357"/>
      <c r="AC210" s="357"/>
    </row>
    <row r="211" spans="1:29" ht="15.75" customHeight="1" thickBot="1">
      <c r="A211" s="794"/>
      <c r="B211" s="471" t="s">
        <v>303</v>
      </c>
      <c r="C211" s="472"/>
      <c r="D211" s="473"/>
      <c r="E211" s="473"/>
      <c r="F211" s="474"/>
      <c r="G211" s="475">
        <v>4</v>
      </c>
      <c r="H211" s="476">
        <f aca="true" t="shared" si="33" ref="H211:H217">G211*30</f>
        <v>120</v>
      </c>
      <c r="I211" s="477"/>
      <c r="J211" s="478"/>
      <c r="K211" s="478"/>
      <c r="L211" s="478"/>
      <c r="M211" s="612"/>
      <c r="N211" s="566"/>
      <c r="O211" s="359"/>
      <c r="P211" s="378"/>
      <c r="Q211" s="368"/>
      <c r="R211" s="359"/>
      <c r="S211" s="618"/>
      <c r="T211" s="566"/>
      <c r="U211" s="359"/>
      <c r="V211" s="378"/>
      <c r="W211" s="357"/>
      <c r="X211" s="357"/>
      <c r="Y211" s="357"/>
      <c r="Z211" s="357"/>
      <c r="AA211" s="357"/>
      <c r="AB211" s="357"/>
      <c r="AC211" s="357"/>
    </row>
    <row r="212" spans="1:29" ht="15.75" customHeight="1">
      <c r="A212" s="793" t="s">
        <v>384</v>
      </c>
      <c r="B212" s="462" t="s">
        <v>374</v>
      </c>
      <c r="C212" s="463"/>
      <c r="D212" s="372"/>
      <c r="E212" s="372"/>
      <c r="F212" s="377"/>
      <c r="G212" s="464">
        <v>10</v>
      </c>
      <c r="H212" s="465">
        <f t="shared" si="33"/>
        <v>300</v>
      </c>
      <c r="I212" s="610"/>
      <c r="J212" s="610"/>
      <c r="K212" s="610"/>
      <c r="L212" s="610"/>
      <c r="M212" s="610"/>
      <c r="N212" s="606"/>
      <c r="O212" s="479"/>
      <c r="P212" s="480"/>
      <c r="Q212" s="562"/>
      <c r="R212" s="479"/>
      <c r="S212" s="617"/>
      <c r="T212" s="606"/>
      <c r="U212" s="479"/>
      <c r="V212" s="635">
        <v>12</v>
      </c>
      <c r="W212" s="357"/>
      <c r="X212" s="357"/>
      <c r="Y212" s="357"/>
      <c r="Z212" s="357"/>
      <c r="AA212" s="357"/>
      <c r="AB212" s="357"/>
      <c r="AC212" s="357"/>
    </row>
    <row r="213" spans="1:29" ht="15.75" customHeight="1">
      <c r="A213" s="794"/>
      <c r="B213" s="631" t="s">
        <v>326</v>
      </c>
      <c r="C213" s="64"/>
      <c r="D213" s="4" t="s">
        <v>350</v>
      </c>
      <c r="E213" s="4"/>
      <c r="F213" s="632"/>
      <c r="G213" s="470">
        <v>3</v>
      </c>
      <c r="H213" s="81">
        <f t="shared" si="33"/>
        <v>90</v>
      </c>
      <c r="I213" s="4">
        <f>SUMPRODUCT(N213:Y213,$N$7:$Y$7)</f>
        <v>32</v>
      </c>
      <c r="J213" s="4">
        <v>16</v>
      </c>
      <c r="K213" s="4">
        <v>16</v>
      </c>
      <c r="L213" s="4"/>
      <c r="M213" s="32">
        <f>H213-I213</f>
        <v>58</v>
      </c>
      <c r="N213" s="566"/>
      <c r="O213" s="359"/>
      <c r="P213" s="378"/>
      <c r="Q213" s="368"/>
      <c r="R213" s="359"/>
      <c r="S213" s="618"/>
      <c r="T213" s="566"/>
      <c r="U213" s="359"/>
      <c r="V213" s="36">
        <v>4</v>
      </c>
      <c r="W213" s="357"/>
      <c r="X213" s="357"/>
      <c r="Y213" s="357"/>
      <c r="Z213" s="357"/>
      <c r="AA213" s="357"/>
      <c r="AB213" s="357"/>
      <c r="AC213" s="357"/>
    </row>
    <row r="214" spans="1:29" ht="15.75" customHeight="1">
      <c r="A214" s="794"/>
      <c r="B214" s="616" t="s">
        <v>41</v>
      </c>
      <c r="C214" s="65"/>
      <c r="D214" s="4" t="s">
        <v>350</v>
      </c>
      <c r="E214" s="7"/>
      <c r="F214" s="410"/>
      <c r="G214" s="470">
        <v>3.5</v>
      </c>
      <c r="H214" s="81">
        <f t="shared" si="33"/>
        <v>105</v>
      </c>
      <c r="I214" s="4">
        <f>SUMPRODUCT(N214:Y214,$N$7:$Y$7)</f>
        <v>32</v>
      </c>
      <c r="J214" s="7">
        <v>16</v>
      </c>
      <c r="K214" s="195">
        <v>16</v>
      </c>
      <c r="L214" s="7"/>
      <c r="M214" s="29">
        <f>H214-I214</f>
        <v>73</v>
      </c>
      <c r="N214" s="566"/>
      <c r="O214" s="359"/>
      <c r="P214" s="378"/>
      <c r="Q214" s="368"/>
      <c r="R214" s="359"/>
      <c r="S214" s="618"/>
      <c r="T214" s="566"/>
      <c r="U214" s="359"/>
      <c r="V214" s="36">
        <v>4</v>
      </c>
      <c r="W214" s="357"/>
      <c r="X214" s="357"/>
      <c r="Y214" s="357"/>
      <c r="Z214" s="357"/>
      <c r="AA214" s="357"/>
      <c r="AB214" s="357"/>
      <c r="AC214" s="357"/>
    </row>
    <row r="215" spans="1:29" ht="15.75" customHeight="1">
      <c r="A215" s="794"/>
      <c r="B215" s="468" t="s">
        <v>327</v>
      </c>
      <c r="C215" s="64"/>
      <c r="D215" s="4" t="s">
        <v>350</v>
      </c>
      <c r="E215" s="4"/>
      <c r="F215" s="633"/>
      <c r="G215" s="470">
        <v>3.5</v>
      </c>
      <c r="H215" s="81">
        <f t="shared" si="33"/>
        <v>105</v>
      </c>
      <c r="I215" s="4">
        <f>SUMPRODUCT(N215:Y215,$N$7:$Y$7)</f>
        <v>32</v>
      </c>
      <c r="J215" s="4">
        <v>16</v>
      </c>
      <c r="K215" s="195">
        <v>16</v>
      </c>
      <c r="L215" s="4"/>
      <c r="M215" s="32">
        <f>H215-I215</f>
        <v>73</v>
      </c>
      <c r="N215" s="566"/>
      <c r="O215" s="359"/>
      <c r="P215" s="378"/>
      <c r="Q215" s="368"/>
      <c r="R215" s="359"/>
      <c r="S215" s="618"/>
      <c r="T215" s="566"/>
      <c r="U215" s="359"/>
      <c r="V215" s="36">
        <v>4</v>
      </c>
      <c r="W215" s="357"/>
      <c r="X215" s="357"/>
      <c r="Y215" s="357"/>
      <c r="Z215" s="357"/>
      <c r="AA215" s="357"/>
      <c r="AB215" s="357"/>
      <c r="AC215" s="357"/>
    </row>
    <row r="216" spans="1:29" ht="15.75" customHeight="1">
      <c r="A216" s="794"/>
      <c r="B216" s="466" t="s">
        <v>318</v>
      </c>
      <c r="C216" s="81"/>
      <c r="D216" s="4" t="s">
        <v>350</v>
      </c>
      <c r="E216" s="5"/>
      <c r="F216" s="634"/>
      <c r="G216" s="442">
        <v>10</v>
      </c>
      <c r="H216" s="81">
        <f t="shared" si="33"/>
        <v>300</v>
      </c>
      <c r="I216" s="5">
        <f>SUMPRODUCT(N216:Y216,$N$7:$Y$7)</f>
        <v>96</v>
      </c>
      <c r="J216" s="5"/>
      <c r="K216" s="5"/>
      <c r="L216" s="5">
        <v>54</v>
      </c>
      <c r="M216" s="54">
        <f>H216-I216</f>
        <v>204</v>
      </c>
      <c r="N216" s="566"/>
      <c r="O216" s="359"/>
      <c r="P216" s="378"/>
      <c r="Q216" s="368"/>
      <c r="R216" s="359"/>
      <c r="S216" s="618"/>
      <c r="T216" s="566"/>
      <c r="U216" s="359"/>
      <c r="V216" s="80">
        <v>12</v>
      </c>
      <c r="W216" s="357"/>
      <c r="X216" s="357"/>
      <c r="Y216" s="357"/>
      <c r="Z216" s="357"/>
      <c r="AA216" s="357"/>
      <c r="AB216" s="357"/>
      <c r="AC216" s="357"/>
    </row>
    <row r="217" spans="1:29" ht="15.75" customHeight="1" thickBot="1">
      <c r="A217" s="795"/>
      <c r="B217" s="471" t="s">
        <v>303</v>
      </c>
      <c r="C217" s="472"/>
      <c r="D217" s="473"/>
      <c r="E217" s="473"/>
      <c r="F217" s="474"/>
      <c r="G217" s="475">
        <v>3.5</v>
      </c>
      <c r="H217" s="476">
        <f t="shared" si="33"/>
        <v>105</v>
      </c>
      <c r="I217" s="477"/>
      <c r="J217" s="478"/>
      <c r="K217" s="478"/>
      <c r="L217" s="478"/>
      <c r="M217" s="612"/>
      <c r="N217" s="567"/>
      <c r="O217" s="380"/>
      <c r="P217" s="384"/>
      <c r="Q217" s="564"/>
      <c r="R217" s="380"/>
      <c r="S217" s="619"/>
      <c r="T217" s="567"/>
      <c r="U217" s="380"/>
      <c r="V217" s="384"/>
      <c r="W217" s="357"/>
      <c r="X217" s="357"/>
      <c r="Y217" s="357"/>
      <c r="Z217" s="357"/>
      <c r="AA217" s="357"/>
      <c r="AB217" s="357"/>
      <c r="AC217" s="357"/>
    </row>
    <row r="218" spans="1:52" s="349" customFormat="1" ht="16.5" thickBot="1">
      <c r="A218" s="804" t="s">
        <v>328</v>
      </c>
      <c r="B218" s="805"/>
      <c r="C218" s="805"/>
      <c r="D218" s="805"/>
      <c r="E218" s="805"/>
      <c r="F218" s="806"/>
      <c r="G218" s="546">
        <f>SUM(G155,G164,G170,G180,G188,G194,G200,G206,G212)</f>
        <v>58</v>
      </c>
      <c r="H218" s="546">
        <f aca="true" t="shared" si="34" ref="H218:M218">SUM(H170,H180,H200,H206,H212)</f>
        <v>1020</v>
      </c>
      <c r="I218" s="546">
        <f t="shared" si="34"/>
        <v>174</v>
      </c>
      <c r="J218" s="546">
        <f t="shared" si="34"/>
        <v>87</v>
      </c>
      <c r="K218" s="546">
        <f t="shared" si="34"/>
        <v>69</v>
      </c>
      <c r="L218" s="546">
        <f t="shared" si="34"/>
        <v>18</v>
      </c>
      <c r="M218" s="604">
        <f t="shared" si="34"/>
        <v>276</v>
      </c>
      <c r="N218" s="607">
        <f>SUM(N155,N164,N170,N200,N180,N206,N212)</f>
        <v>0</v>
      </c>
      <c r="O218" s="608">
        <f>SUM(O155,O164,O170,O200,O180,O206,O212)</f>
        <v>2</v>
      </c>
      <c r="P218" s="609">
        <f>SUM(P155,P164,P170,P200,P180,P206,P212)</f>
        <v>2</v>
      </c>
      <c r="Q218" s="605">
        <f aca="true" t="shared" si="35" ref="Q218:V218">SUM(Q155,Q164,Q170,Q188,Q194,Q200,Q180,Q206,Q212)</f>
        <v>7</v>
      </c>
      <c r="R218" s="605">
        <f t="shared" si="35"/>
        <v>14</v>
      </c>
      <c r="S218" s="605">
        <f t="shared" si="35"/>
        <v>10</v>
      </c>
      <c r="T218" s="605">
        <f t="shared" si="35"/>
        <v>6</v>
      </c>
      <c r="U218" s="605">
        <f t="shared" si="35"/>
        <v>12</v>
      </c>
      <c r="V218" s="605">
        <f t="shared" si="35"/>
        <v>12</v>
      </c>
      <c r="W218" s="624">
        <f aca="true" t="shared" si="36" ref="W218:AB218">W217</f>
        <v>0</v>
      </c>
      <c r="X218" s="433">
        <f t="shared" si="36"/>
        <v>0</v>
      </c>
      <c r="Y218" s="433">
        <f t="shared" si="36"/>
        <v>0</v>
      </c>
      <c r="Z218" s="433">
        <f t="shared" si="36"/>
        <v>0</v>
      </c>
      <c r="AA218" s="433">
        <f t="shared" si="36"/>
        <v>0</v>
      </c>
      <c r="AB218" s="433">
        <f t="shared" si="36"/>
        <v>0</v>
      </c>
      <c r="AC218" s="418"/>
      <c r="AW218" s="533"/>
      <c r="AX218" s="538"/>
      <c r="AY218" s="538"/>
      <c r="AZ218" s="533"/>
    </row>
    <row r="219" spans="1:52" s="349" customFormat="1" ht="16.5" thickBot="1">
      <c r="A219" s="820" t="s">
        <v>295</v>
      </c>
      <c r="B219" s="821"/>
      <c r="C219" s="517"/>
      <c r="D219" s="517"/>
      <c r="E219" s="517"/>
      <c r="F219" s="518"/>
      <c r="G219" s="519">
        <f>G182</f>
        <v>0</v>
      </c>
      <c r="H219" s="519"/>
      <c r="I219" s="519"/>
      <c r="J219" s="439"/>
      <c r="K219" s="439"/>
      <c r="L219" s="439"/>
      <c r="M219" s="439"/>
      <c r="N219" s="440"/>
      <c r="O219" s="440"/>
      <c r="P219" s="440"/>
      <c r="Q219" s="440"/>
      <c r="R219" s="440"/>
      <c r="S219" s="622"/>
      <c r="T219" s="625"/>
      <c r="U219" s="440"/>
      <c r="V219" s="441"/>
      <c r="W219" s="418"/>
      <c r="X219" s="418"/>
      <c r="Y219" s="418"/>
      <c r="Z219" s="418"/>
      <c r="AA219" s="418"/>
      <c r="AB219" s="418"/>
      <c r="AC219" s="418"/>
      <c r="AW219" s="533"/>
      <c r="AX219" s="538"/>
      <c r="AY219" s="538"/>
      <c r="AZ219" s="533"/>
    </row>
    <row r="220" spans="1:52" s="349" customFormat="1" ht="16.5" thickBot="1">
      <c r="A220" s="822" t="s">
        <v>72</v>
      </c>
      <c r="B220" s="823"/>
      <c r="C220" s="8"/>
      <c r="D220" s="8"/>
      <c r="E220" s="8"/>
      <c r="F220" s="30"/>
      <c r="G220" s="556">
        <f>G218-G219</f>
        <v>58</v>
      </c>
      <c r="H220" s="95"/>
      <c r="I220" s="95"/>
      <c r="J220" s="149"/>
      <c r="K220" s="149"/>
      <c r="L220" s="149"/>
      <c r="M220" s="149"/>
      <c r="N220" s="437"/>
      <c r="O220" s="437"/>
      <c r="P220" s="437"/>
      <c r="Q220" s="437"/>
      <c r="R220" s="437"/>
      <c r="S220" s="623"/>
      <c r="T220" s="626"/>
      <c r="U220" s="437"/>
      <c r="V220" s="438"/>
      <c r="W220" s="418"/>
      <c r="X220" s="418"/>
      <c r="Y220" s="418"/>
      <c r="Z220" s="418"/>
      <c r="AA220" s="418"/>
      <c r="AB220" s="418"/>
      <c r="AC220" s="418"/>
      <c r="AW220" s="533"/>
      <c r="AX220" s="538"/>
      <c r="AY220" s="538"/>
      <c r="AZ220" s="533"/>
    </row>
    <row r="221" spans="1:29" ht="19.5" customHeight="1" thickBot="1">
      <c r="A221" s="838"/>
      <c r="B221" s="83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521">
        <f aca="true" t="shared" si="37" ref="N221:V221">SUM(N61,N140,N218)</f>
        <v>19</v>
      </c>
      <c r="O221" s="521">
        <f t="shared" si="37"/>
        <v>23</v>
      </c>
      <c r="P221" s="521">
        <f t="shared" si="37"/>
        <v>17</v>
      </c>
      <c r="Q221" s="521">
        <f t="shared" si="37"/>
        <v>17</v>
      </c>
      <c r="R221" s="521">
        <f t="shared" si="37"/>
        <v>29</v>
      </c>
      <c r="S221" s="521">
        <f t="shared" si="37"/>
        <v>27</v>
      </c>
      <c r="T221" s="521">
        <f t="shared" si="37"/>
        <v>25</v>
      </c>
      <c r="U221" s="521">
        <f t="shared" si="37"/>
        <v>21</v>
      </c>
      <c r="V221" s="521">
        <f t="shared" si="37"/>
        <v>14</v>
      </c>
      <c r="W221" s="33"/>
      <c r="X221" s="33"/>
      <c r="Y221" s="33"/>
      <c r="Z221" s="33"/>
      <c r="AA221" s="33"/>
      <c r="AB221" s="33"/>
      <c r="AC221" s="95"/>
    </row>
    <row r="222" spans="1:29" ht="15.75" customHeight="1" thickBot="1">
      <c r="A222" s="126"/>
      <c r="B222" s="126" t="s">
        <v>96</v>
      </c>
      <c r="C222" s="58"/>
      <c r="D222" s="58"/>
      <c r="E222" s="58"/>
      <c r="F222" s="58"/>
      <c r="G222" s="131">
        <f>SUM(G59,G138,G147,G152,G218)</f>
        <v>235</v>
      </c>
      <c r="H222" s="131">
        <f>SUM(H59,H138,H147,H152,H218)</f>
        <v>6105</v>
      </c>
      <c r="I222" s="58"/>
      <c r="J222" s="58"/>
      <c r="K222" s="58"/>
      <c r="L222" s="58"/>
      <c r="M222" s="135"/>
      <c r="N222" s="140"/>
      <c r="O222" s="58"/>
      <c r="P222" s="141"/>
      <c r="Q222" s="138"/>
      <c r="R222" s="58"/>
      <c r="S222" s="58"/>
      <c r="T222" s="138"/>
      <c r="U222" s="58"/>
      <c r="V222" s="58"/>
      <c r="W222" s="67"/>
      <c r="X222" s="67"/>
      <c r="Y222" s="67"/>
      <c r="Z222" s="124"/>
      <c r="AA222" s="33"/>
      <c r="AB222" s="67"/>
      <c r="AC222" s="124"/>
    </row>
    <row r="223" spans="1:29" ht="15.75" customHeight="1" thickBot="1">
      <c r="A223" s="126"/>
      <c r="B223" s="126" t="s">
        <v>295</v>
      </c>
      <c r="C223" s="58"/>
      <c r="D223" s="58"/>
      <c r="E223" s="58"/>
      <c r="F223" s="58"/>
      <c r="G223" s="131">
        <f>SUM(G60,G139,G148,G219)</f>
        <v>60</v>
      </c>
      <c r="H223" s="131">
        <f>SUM(H60,H139,H148)</f>
        <v>1770</v>
      </c>
      <c r="I223" s="58"/>
      <c r="J223" s="58"/>
      <c r="K223" s="58"/>
      <c r="L223" s="58"/>
      <c r="M223" s="135"/>
      <c r="N223" s="140"/>
      <c r="O223" s="58"/>
      <c r="P223" s="141"/>
      <c r="Q223" s="138"/>
      <c r="R223" s="58"/>
      <c r="S223" s="58"/>
      <c r="T223" s="138"/>
      <c r="U223" s="58"/>
      <c r="V223" s="58"/>
      <c r="W223" s="67"/>
      <c r="X223" s="67"/>
      <c r="Y223" s="67"/>
      <c r="Z223" s="124"/>
      <c r="AA223" s="33"/>
      <c r="AB223" s="67"/>
      <c r="AC223" s="124"/>
    </row>
    <row r="224" spans="1:46" ht="15.75" customHeight="1" thickBot="1">
      <c r="A224" s="126"/>
      <c r="B224" s="126" t="s">
        <v>72</v>
      </c>
      <c r="C224" s="58"/>
      <c r="D224" s="58"/>
      <c r="E224" s="58"/>
      <c r="F224" s="58"/>
      <c r="G224" s="131">
        <f>SUM(G61,G140,G149,G151,G220)</f>
        <v>180</v>
      </c>
      <c r="H224" s="131">
        <f>SUM(H61,H140,H149,H151,H218)</f>
        <v>3900</v>
      </c>
      <c r="I224" s="58"/>
      <c r="J224" s="58"/>
      <c r="K224" s="58"/>
      <c r="L224" s="58"/>
      <c r="M224" s="135"/>
      <c r="N224" s="140"/>
      <c r="O224" s="58"/>
      <c r="P224" s="141"/>
      <c r="Q224" s="138"/>
      <c r="R224" s="58"/>
      <c r="S224" s="58"/>
      <c r="T224" s="138"/>
      <c r="U224" s="58"/>
      <c r="V224" s="58"/>
      <c r="W224" s="67"/>
      <c r="X224" s="67"/>
      <c r="Y224" s="67"/>
      <c r="Z224" s="124"/>
      <c r="AA224" s="33"/>
      <c r="AB224" s="67"/>
      <c r="AC224" s="124"/>
      <c r="AN224" s="351"/>
      <c r="AO224" s="510">
        <v>1</v>
      </c>
      <c r="AP224" s="510" t="s">
        <v>258</v>
      </c>
      <c r="AQ224" s="510" t="s">
        <v>259</v>
      </c>
      <c r="AR224" s="510">
        <v>3</v>
      </c>
      <c r="AS224" s="510" t="s">
        <v>260</v>
      </c>
      <c r="AT224" s="510" t="s">
        <v>261</v>
      </c>
    </row>
    <row r="225" spans="1:46" ht="17.25" customHeight="1" thickBot="1">
      <c r="A225" s="807" t="s">
        <v>1</v>
      </c>
      <c r="B225" s="808"/>
      <c r="C225" s="808"/>
      <c r="D225" s="808"/>
      <c r="E225" s="808"/>
      <c r="F225" s="808"/>
      <c r="G225" s="808"/>
      <c r="H225" s="808"/>
      <c r="I225" s="808"/>
      <c r="J225" s="808"/>
      <c r="K225" s="808"/>
      <c r="L225" s="808"/>
      <c r="M225" s="808"/>
      <c r="N225" s="522">
        <f aca="true" t="shared" si="38" ref="N225:V225">N221</f>
        <v>19</v>
      </c>
      <c r="O225" s="522">
        <f t="shared" si="38"/>
        <v>23</v>
      </c>
      <c r="P225" s="522">
        <f t="shared" si="38"/>
        <v>17</v>
      </c>
      <c r="Q225" s="522">
        <f>Q221</f>
        <v>17</v>
      </c>
      <c r="R225" s="522">
        <f>R221</f>
        <v>29</v>
      </c>
      <c r="S225" s="522">
        <f>S221</f>
        <v>27</v>
      </c>
      <c r="T225" s="522">
        <f t="shared" si="38"/>
        <v>25</v>
      </c>
      <c r="U225" s="522">
        <f t="shared" si="38"/>
        <v>21</v>
      </c>
      <c r="V225" s="522">
        <f t="shared" si="38"/>
        <v>14</v>
      </c>
      <c r="W225" s="84" t="e">
        <f>SUM(#REF!,W61,#REF!,W140,#REF!,#REF!,#REF!)</f>
        <v>#REF!</v>
      </c>
      <c r="X225" s="84" t="e">
        <f>SUM(#REF!,X61,#REF!,X140,#REF!,#REF!,#REF!)</f>
        <v>#REF!</v>
      </c>
      <c r="Y225" s="84" t="e">
        <f>SUM(#REF!,Y61,#REF!,Y140,#REF!,#REF!,#REF!)</f>
        <v>#REF!</v>
      </c>
      <c r="Z225" s="84" t="e">
        <f>SUM(#REF!,Z61,#REF!,Z140,#REF!,#REF!,#REF!)</f>
        <v>#REF!</v>
      </c>
      <c r="AA225" s="84" t="e">
        <f>SUM(#REF!,AA61,#REF!,AA140,#REF!,#REF!,#REF!)</f>
        <v>#REF!</v>
      </c>
      <c r="AB225" s="84" t="e">
        <f>SUM(#REF!,AB61,#REF!,AB140,#REF!,#REF!,#REF!)</f>
        <v>#REF!</v>
      </c>
      <c r="AC225" s="84" t="e">
        <f>SUM(#REF!,AC61,#REF!,AC140,#REF!,#REF!,#REF!)</f>
        <v>#REF!</v>
      </c>
      <c r="AN225" s="351" t="s">
        <v>265</v>
      </c>
      <c r="AO225" s="351" t="e">
        <f>AO10+AO29+AO66+#REF!</f>
        <v>#REF!</v>
      </c>
      <c r="AP225" s="351" t="e">
        <f>AP10+AP29+AP66+#REF!</f>
        <v>#REF!</v>
      </c>
      <c r="AQ225" s="351" t="e">
        <f>AQ10+AQ29+AQ66+#REF!</f>
        <v>#REF!</v>
      </c>
      <c r="AR225" s="351" t="e">
        <f>AR10+AR29+AR66+#REF!</f>
        <v>#REF!</v>
      </c>
      <c r="AS225" s="351" t="e">
        <f>AS10+AS29+AS66+#REF!</f>
        <v>#REF!</v>
      </c>
      <c r="AT225" s="351" t="e">
        <f>AT10+AT29+AT66+#REF!</f>
        <v>#REF!</v>
      </c>
    </row>
    <row r="226" spans="1:46" ht="17.25" customHeight="1" thickBot="1">
      <c r="A226" s="809" t="s">
        <v>9</v>
      </c>
      <c r="B226" s="810"/>
      <c r="C226" s="810"/>
      <c r="D226" s="810"/>
      <c r="E226" s="810"/>
      <c r="F226" s="810"/>
      <c r="G226" s="810"/>
      <c r="H226" s="810"/>
      <c r="I226" s="810"/>
      <c r="J226" s="810"/>
      <c r="K226" s="810"/>
      <c r="L226" s="810"/>
      <c r="M226" s="810"/>
      <c r="N226" s="22"/>
      <c r="O226" s="23"/>
      <c r="P226" s="42"/>
      <c r="Q226" s="523">
        <v>1</v>
      </c>
      <c r="R226" s="523"/>
      <c r="S226" s="523">
        <v>1</v>
      </c>
      <c r="T226" s="523">
        <v>1</v>
      </c>
      <c r="U226" s="523">
        <v>1</v>
      </c>
      <c r="V226" s="523"/>
      <c r="W226" s="22"/>
      <c r="X226" s="23"/>
      <c r="Y226" s="23"/>
      <c r="Z226" s="48"/>
      <c r="AA226" s="22"/>
      <c r="AB226" s="23"/>
      <c r="AC226" s="42"/>
      <c r="AF226" s="349" t="s">
        <v>107</v>
      </c>
      <c r="AG226" s="348">
        <f>AE30+AE139</f>
        <v>38</v>
      </c>
      <c r="AN226" s="192" t="s">
        <v>266</v>
      </c>
      <c r="AO226" s="351" t="e">
        <f>AO11+AO30+AO67+#REF!</f>
        <v>#REF!</v>
      </c>
      <c r="AP226" s="351" t="e">
        <f>AP11+AP30+AP67+#REF!+1</f>
        <v>#REF!</v>
      </c>
      <c r="AQ226" s="351" t="e">
        <f>AQ11+AQ30+AQ67+#REF!</f>
        <v>#REF!</v>
      </c>
      <c r="AR226" s="351" t="e">
        <f>AR11+AR30+AR67+#REF!</f>
        <v>#REF!</v>
      </c>
      <c r="AS226" s="351" t="e">
        <f>AS11+AS30+AS67+#REF!</f>
        <v>#REF!</v>
      </c>
      <c r="AT226" s="351" t="e">
        <f>AT11+AT30+AT67+#REF!+1</f>
        <v>#REF!</v>
      </c>
    </row>
    <row r="227" spans="1:46" ht="17.25" customHeight="1" thickBot="1">
      <c r="A227" s="809" t="s">
        <v>2</v>
      </c>
      <c r="B227" s="810"/>
      <c r="C227" s="810"/>
      <c r="D227" s="810"/>
      <c r="E227" s="810"/>
      <c r="F227" s="810"/>
      <c r="G227" s="810"/>
      <c r="H227" s="810"/>
      <c r="I227" s="810"/>
      <c r="J227" s="810"/>
      <c r="K227" s="810"/>
      <c r="L227" s="810"/>
      <c r="M227" s="810"/>
      <c r="N227" s="22">
        <f>COUNTIF($C11:$C137,"1")</f>
        <v>3</v>
      </c>
      <c r="O227" s="524">
        <f>COUNTIF($C11:$C137,"2а")</f>
        <v>2</v>
      </c>
      <c r="P227" s="524">
        <f>COUNTIF($C11:$C137,"2б")</f>
        <v>1</v>
      </c>
      <c r="Q227" s="524">
        <f>COUNTIF($C11:$C137,"3")</f>
        <v>0</v>
      </c>
      <c r="R227" s="540">
        <f>COUNTIF($C11:$C137,"4а")</f>
        <v>0</v>
      </c>
      <c r="S227" s="524">
        <f>COUNTIF($C11:$C137,"4б")</f>
        <v>3</v>
      </c>
      <c r="T227" s="524">
        <f>COUNTIF($C11:$C137,"5")</f>
        <v>4</v>
      </c>
      <c r="U227" s="540">
        <f>COUNTIF($C11:$C137,"6а")</f>
        <v>1</v>
      </c>
      <c r="V227" s="524">
        <f>COUNTIF($C11:$C137,"6б")</f>
        <v>0</v>
      </c>
      <c r="W227" s="22"/>
      <c r="X227" s="23"/>
      <c r="Y227" s="23"/>
      <c r="Z227" s="48"/>
      <c r="AA227" s="22"/>
      <c r="AB227" s="23"/>
      <c r="AC227" s="42"/>
      <c r="AF227" s="349" t="s">
        <v>108</v>
      </c>
      <c r="AG227" s="347">
        <f>AE15+AE31+AE140</f>
        <v>20.5</v>
      </c>
      <c r="AN227" s="192" t="s">
        <v>267</v>
      </c>
      <c r="AO227" s="351" t="e">
        <f>AO12+AO31+AO68+#REF!</f>
        <v>#REF!</v>
      </c>
      <c r="AP227" s="351" t="e">
        <f>AP12+AP31+AP68+#REF!</f>
        <v>#REF!</v>
      </c>
      <c r="AQ227" s="351" t="e">
        <f>AQ12+AQ31+AQ68+#REF!</f>
        <v>#REF!</v>
      </c>
      <c r="AR227" s="351" t="e">
        <f>AR12+AR31+AR68+#REF!</f>
        <v>#REF!</v>
      </c>
      <c r="AS227" s="351" t="e">
        <f>AS12+AS31+AS68+#REF!</f>
        <v>#REF!</v>
      </c>
      <c r="AT227" s="351" t="e">
        <f>AT12+AT31+AT68+#REF!</f>
        <v>#REF!</v>
      </c>
    </row>
    <row r="228" spans="1:46" ht="17.25" customHeight="1" thickBot="1">
      <c r="A228" s="809" t="s">
        <v>0</v>
      </c>
      <c r="B228" s="810"/>
      <c r="C228" s="810"/>
      <c r="D228" s="810"/>
      <c r="E228" s="810"/>
      <c r="F228" s="810"/>
      <c r="G228" s="810"/>
      <c r="H228" s="810"/>
      <c r="I228" s="810"/>
      <c r="J228" s="810"/>
      <c r="K228" s="810"/>
      <c r="L228" s="810"/>
      <c r="M228" s="810"/>
      <c r="N228" s="524">
        <f>COUNTIF($D11:$D137,"1")</f>
        <v>4</v>
      </c>
      <c r="O228" s="524">
        <f>COUNTIF($D11:$D137,"2а")</f>
        <v>4</v>
      </c>
      <c r="P228" s="524">
        <f>COUNTIF($D11:$D137,"2б")</f>
        <v>2</v>
      </c>
      <c r="Q228" s="524">
        <f>COUNTIF($D11:$D137,"3")+3</f>
        <v>7</v>
      </c>
      <c r="R228" s="524">
        <f>COUNTIF($D11:$D137,"4а")+5</f>
        <v>8</v>
      </c>
      <c r="S228" s="524">
        <f>COUNTIF($D11:$D137,"4б")+3</f>
        <v>4</v>
      </c>
      <c r="T228" s="524">
        <f>COUNTIF($D11:$D137,"5")</f>
        <v>2</v>
      </c>
      <c r="U228" s="524">
        <f>COUNTIF($D11:$D137,"6а")+5</f>
        <v>5</v>
      </c>
      <c r="V228" s="524">
        <f>COUNTIF($D11:$D137,"6б")+3</f>
        <v>4</v>
      </c>
      <c r="W228" s="85"/>
      <c r="X228" s="86"/>
      <c r="Y228" s="86"/>
      <c r="Z228" s="71"/>
      <c r="AA228" s="85"/>
      <c r="AB228" s="86"/>
      <c r="AC228" s="87"/>
      <c r="AN228" s="192" t="s">
        <v>268</v>
      </c>
      <c r="AO228" s="351" t="e">
        <f>#REF!+AO32+AO69+#REF!</f>
        <v>#REF!</v>
      </c>
      <c r="AP228" s="351" t="e">
        <f>#REF!+AP32+AP69+#REF!</f>
        <v>#REF!</v>
      </c>
      <c r="AQ228" s="351" t="e">
        <f>#REF!+AQ32+AQ69+#REF!</f>
        <v>#REF!</v>
      </c>
      <c r="AR228" s="351" t="e">
        <f>#REF!+AR32+AR69+#REF!</f>
        <v>#REF!</v>
      </c>
      <c r="AS228" s="351" t="e">
        <f>#REF!+AS32+AS69+#REF!</f>
        <v>#REF!</v>
      </c>
      <c r="AT228" s="351" t="e">
        <f>#REF!+AT32+AT69+#REF!</f>
        <v>#REF!</v>
      </c>
    </row>
    <row r="229" spans="2:23" ht="18.75" customHeight="1">
      <c r="B229" s="525"/>
      <c r="C229" s="525"/>
      <c r="D229" s="525"/>
      <c r="E229" s="525"/>
      <c r="F229" s="525"/>
      <c r="G229" s="526"/>
      <c r="H229" s="24"/>
      <c r="I229" s="24"/>
      <c r="J229" s="24"/>
      <c r="K229" s="24"/>
      <c r="L229" s="24"/>
      <c r="N229" s="878">
        <f>SUM(G17,G21,G27,G28,G31,G34:G35,G38,G41,G44:G46,G47,G52,G55,G58,G65,G76,G108:G110,G144,G155)</f>
        <v>60</v>
      </c>
      <c r="O229" s="879"/>
      <c r="P229" s="880"/>
      <c r="Q229" s="878">
        <f>SUM(G68,G71,G79,G82,G83,G84,G94:G96,G105,G114,G115,G122,G131,G164,G170,G180,G188,G194)+1</f>
        <v>60</v>
      </c>
      <c r="R229" s="879"/>
      <c r="S229" s="880"/>
      <c r="T229" s="878">
        <f>SUM(G13,G87,G90,G91,G97,G100,G118:G119,G125,G128,G145,G151,G200,G206,G212)</f>
        <v>60</v>
      </c>
      <c r="U229" s="879"/>
      <c r="V229" s="880"/>
      <c r="W229" s="1"/>
    </row>
    <row r="230" spans="2:23" ht="22.5" customHeight="1">
      <c r="B230" s="525"/>
      <c r="C230" s="525"/>
      <c r="D230" s="525"/>
      <c r="E230" s="525"/>
      <c r="F230" s="525"/>
      <c r="G230" s="526"/>
      <c r="H230" s="24"/>
      <c r="I230" s="24"/>
      <c r="J230" s="24"/>
      <c r="K230" s="24"/>
      <c r="L230" s="24"/>
      <c r="N230" s="876">
        <f>N229+Q229+T229</f>
        <v>180</v>
      </c>
      <c r="O230" s="877"/>
      <c r="P230" s="877"/>
      <c r="Q230" s="877"/>
      <c r="R230" s="877"/>
      <c r="S230" s="877"/>
      <c r="T230" s="877"/>
      <c r="U230" s="877"/>
      <c r="V230" s="877"/>
      <c r="W230" s="1"/>
    </row>
    <row r="231" spans="2:29" ht="19.5" thickBot="1">
      <c r="B231" s="525"/>
      <c r="C231" s="525"/>
      <c r="D231" s="525"/>
      <c r="E231" s="525"/>
      <c r="F231" s="525"/>
      <c r="G231" s="526"/>
      <c r="H231" s="24"/>
      <c r="I231" s="24"/>
      <c r="J231" s="24"/>
      <c r="K231" s="24"/>
      <c r="L231" s="2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52" s="443" customFormat="1" ht="19.5" customHeight="1">
      <c r="A232" s="796" t="s">
        <v>316</v>
      </c>
      <c r="B232" s="797"/>
      <c r="C232" s="797"/>
      <c r="D232" s="797"/>
      <c r="E232" s="797"/>
      <c r="F232" s="797"/>
      <c r="G232" s="797"/>
      <c r="H232" s="797"/>
      <c r="I232" s="797"/>
      <c r="J232" s="797"/>
      <c r="K232" s="797"/>
      <c r="L232" s="797"/>
      <c r="M232" s="797"/>
      <c r="N232" s="797"/>
      <c r="O232" s="797"/>
      <c r="P232" s="797"/>
      <c r="Q232" s="797"/>
      <c r="R232" s="797"/>
      <c r="S232" s="797"/>
      <c r="T232" s="797"/>
      <c r="U232" s="797"/>
      <c r="V232" s="798"/>
      <c r="AW232" s="534"/>
      <c r="AX232" s="539"/>
      <c r="AY232" s="539"/>
      <c r="AZ232" s="534"/>
    </row>
    <row r="233" spans="1:37" s="143" customFormat="1" ht="15.75">
      <c r="A233" s="569">
        <v>1</v>
      </c>
      <c r="B233" s="570" t="s">
        <v>5</v>
      </c>
      <c r="C233" s="571"/>
      <c r="D233" s="571"/>
      <c r="E233" s="571"/>
      <c r="F233" s="571"/>
      <c r="G233" s="572">
        <f aca="true" t="shared" si="39" ref="G233:M233">G234+G235</f>
        <v>13.5</v>
      </c>
      <c r="H233" s="569">
        <f t="shared" si="39"/>
        <v>405</v>
      </c>
      <c r="I233" s="569">
        <f t="shared" si="39"/>
        <v>264</v>
      </c>
      <c r="J233" s="569">
        <f t="shared" si="39"/>
        <v>4</v>
      </c>
      <c r="K233" s="569">
        <f t="shared" si="39"/>
        <v>0</v>
      </c>
      <c r="L233" s="569">
        <f t="shared" si="39"/>
        <v>260</v>
      </c>
      <c r="M233" s="569">
        <f t="shared" si="39"/>
        <v>141</v>
      </c>
      <c r="N233" s="572"/>
      <c r="O233" s="572"/>
      <c r="P233" s="573"/>
      <c r="Q233" s="572"/>
      <c r="R233" s="572"/>
      <c r="S233" s="572"/>
      <c r="T233" s="572"/>
      <c r="U233" s="572"/>
      <c r="V233" s="573"/>
      <c r="W233" s="443"/>
      <c r="X233" s="443"/>
      <c r="Z233" s="574"/>
      <c r="AA233" s="574"/>
      <c r="AB233" s="574"/>
      <c r="AC233" s="574"/>
      <c r="AD233" s="574"/>
      <c r="AE233" s="574"/>
      <c r="AF233" s="574"/>
      <c r="AG233" s="574"/>
      <c r="AH233" s="574"/>
      <c r="AI233" s="574"/>
      <c r="AJ233" s="574"/>
      <c r="AK233" s="574"/>
    </row>
    <row r="234" spans="1:37" s="143" customFormat="1" ht="16.5" customHeight="1">
      <c r="A234" s="575" t="s">
        <v>364</v>
      </c>
      <c r="B234" s="576" t="s">
        <v>5</v>
      </c>
      <c r="C234" s="577"/>
      <c r="D234" s="403" t="s">
        <v>365</v>
      </c>
      <c r="E234" s="578"/>
      <c r="F234" s="579"/>
      <c r="G234" s="639">
        <v>6.5</v>
      </c>
      <c r="H234" s="580">
        <f>G234*30</f>
        <v>195</v>
      </c>
      <c r="I234" s="581">
        <f>L234+J234</f>
        <v>132</v>
      </c>
      <c r="J234" s="578">
        <v>4</v>
      </c>
      <c r="K234" s="578"/>
      <c r="L234" s="578">
        <v>128</v>
      </c>
      <c r="M234" s="582">
        <f>H234-I234</f>
        <v>63</v>
      </c>
      <c r="N234" s="581">
        <v>4</v>
      </c>
      <c r="O234" s="583">
        <v>4</v>
      </c>
      <c r="P234" s="579">
        <v>4</v>
      </c>
      <c r="Q234" s="581"/>
      <c r="R234" s="583"/>
      <c r="S234" s="579"/>
      <c r="T234" s="581"/>
      <c r="U234" s="583"/>
      <c r="V234" s="579"/>
      <c r="W234" s="443"/>
      <c r="X234" s="443"/>
      <c r="Z234" s="574"/>
      <c r="AA234" s="574"/>
      <c r="AB234" s="574"/>
      <c r="AC234" s="574"/>
      <c r="AD234" s="574"/>
      <c r="AE234" s="574"/>
      <c r="AF234" s="574"/>
      <c r="AG234" s="574"/>
      <c r="AH234" s="574"/>
      <c r="AI234" s="574"/>
      <c r="AJ234" s="574"/>
      <c r="AK234" s="574"/>
    </row>
    <row r="235" spans="1:37" s="143" customFormat="1" ht="15.75">
      <c r="A235" s="575" t="s">
        <v>366</v>
      </c>
      <c r="B235" s="576" t="s">
        <v>5</v>
      </c>
      <c r="C235" s="577"/>
      <c r="D235" s="640" t="s">
        <v>367</v>
      </c>
      <c r="E235" s="578"/>
      <c r="F235" s="579"/>
      <c r="G235" s="641">
        <v>7</v>
      </c>
      <c r="H235" s="580">
        <f>G235*30</f>
        <v>210</v>
      </c>
      <c r="I235" s="581">
        <f>L235+J235</f>
        <v>132</v>
      </c>
      <c r="J235" s="578"/>
      <c r="K235" s="578"/>
      <c r="L235" s="578">
        <v>132</v>
      </c>
      <c r="M235" s="582">
        <f>H235-I235</f>
        <v>78</v>
      </c>
      <c r="N235" s="581"/>
      <c r="O235" s="583"/>
      <c r="P235" s="579"/>
      <c r="Q235" s="581">
        <v>4</v>
      </c>
      <c r="R235" s="583">
        <v>4</v>
      </c>
      <c r="S235" s="579">
        <v>4</v>
      </c>
      <c r="T235" s="581"/>
      <c r="U235" s="583"/>
      <c r="V235" s="579"/>
      <c r="W235" s="443"/>
      <c r="X235" s="443"/>
      <c r="Z235" s="574"/>
      <c r="AA235" s="574"/>
      <c r="AB235" s="574"/>
      <c r="AC235" s="574"/>
      <c r="AD235" s="574"/>
      <c r="AE235" s="574"/>
      <c r="AF235" s="574"/>
      <c r="AG235" s="574"/>
      <c r="AH235" s="574"/>
      <c r="AI235" s="574"/>
      <c r="AJ235" s="574"/>
      <c r="AK235" s="574"/>
    </row>
    <row r="236" spans="1:37" s="143" customFormat="1" ht="25.5">
      <c r="A236" s="575" t="s">
        <v>368</v>
      </c>
      <c r="B236" s="584" t="s">
        <v>5</v>
      </c>
      <c r="C236" s="585"/>
      <c r="D236" s="642" t="s">
        <v>369</v>
      </c>
      <c r="E236" s="586"/>
      <c r="F236" s="586"/>
      <c r="G236" s="587"/>
      <c r="H236" s="586"/>
      <c r="I236" s="586"/>
      <c r="J236" s="586"/>
      <c r="K236" s="586"/>
      <c r="L236" s="586"/>
      <c r="M236" s="586"/>
      <c r="N236" s="586"/>
      <c r="O236" s="586"/>
      <c r="P236" s="586"/>
      <c r="Q236" s="586"/>
      <c r="R236" s="586"/>
      <c r="S236" s="586"/>
      <c r="T236" s="586" t="s">
        <v>39</v>
      </c>
      <c r="U236" s="586" t="s">
        <v>39</v>
      </c>
      <c r="V236" s="586" t="s">
        <v>39</v>
      </c>
      <c r="W236" s="443"/>
      <c r="X236" s="443"/>
      <c r="Z236" s="574"/>
      <c r="AA236" s="574"/>
      <c r="AB236" s="574"/>
      <c r="AC236" s="574"/>
      <c r="AD236" s="574"/>
      <c r="AE236" s="574"/>
      <c r="AF236" s="574"/>
      <c r="AG236" s="574"/>
      <c r="AH236" s="574"/>
      <c r="AI236" s="574"/>
      <c r="AJ236" s="574"/>
      <c r="AK236" s="574"/>
    </row>
    <row r="237" spans="1:37" s="143" customFormat="1" ht="15.75">
      <c r="A237" s="588" t="s">
        <v>370</v>
      </c>
      <c r="B237" s="589"/>
      <c r="C237" s="588"/>
      <c r="D237" s="588"/>
      <c r="E237" s="590"/>
      <c r="F237" s="588"/>
      <c r="G237" s="588"/>
      <c r="H237" s="588"/>
      <c r="I237" s="588"/>
      <c r="J237" s="588"/>
      <c r="K237" s="588"/>
      <c r="L237" s="588"/>
      <c r="M237" s="588"/>
      <c r="N237" s="588"/>
      <c r="O237" s="588"/>
      <c r="P237" s="588"/>
      <c r="Q237" s="588"/>
      <c r="R237" s="588"/>
      <c r="S237" s="588"/>
      <c r="T237" s="591"/>
      <c r="U237" s="588"/>
      <c r="V237" s="588"/>
      <c r="W237" s="443"/>
      <c r="X237" s="443"/>
      <c r="Z237" s="574"/>
      <c r="AA237" s="574"/>
      <c r="AB237" s="574"/>
      <c r="AC237" s="574"/>
      <c r="AD237" s="574"/>
      <c r="AE237" s="574"/>
      <c r="AF237" s="574"/>
      <c r="AG237" s="574"/>
      <c r="AH237" s="574"/>
      <c r="AI237" s="574"/>
      <c r="AJ237" s="574"/>
      <c r="AK237" s="574"/>
    </row>
    <row r="238" spans="1:37" s="143" customFormat="1" ht="31.5">
      <c r="A238" s="592" t="s">
        <v>371</v>
      </c>
      <c r="B238" s="593" t="s">
        <v>329</v>
      </c>
      <c r="C238" s="58"/>
      <c r="D238" s="527"/>
      <c r="E238" s="528"/>
      <c r="F238" s="529"/>
      <c r="G238" s="530">
        <f aca="true" t="shared" si="40" ref="G238:M238">SUM(G239:G242)</f>
        <v>18</v>
      </c>
      <c r="H238" s="530">
        <f t="shared" si="40"/>
        <v>540</v>
      </c>
      <c r="I238" s="530">
        <f t="shared" si="40"/>
        <v>294</v>
      </c>
      <c r="J238" s="530">
        <f t="shared" si="40"/>
        <v>0</v>
      </c>
      <c r="K238" s="530">
        <f t="shared" si="40"/>
        <v>0</v>
      </c>
      <c r="L238" s="530">
        <f t="shared" si="40"/>
        <v>294</v>
      </c>
      <c r="M238" s="530">
        <f t="shared" si="40"/>
        <v>246</v>
      </c>
      <c r="N238" s="594"/>
      <c r="O238" s="594"/>
      <c r="P238" s="594"/>
      <c r="Q238" s="594"/>
      <c r="R238" s="594"/>
      <c r="S238" s="594"/>
      <c r="T238" s="595"/>
      <c r="U238" s="595"/>
      <c r="V238" s="595"/>
      <c r="W238" s="443"/>
      <c r="X238" s="443"/>
      <c r="Z238" s="574"/>
      <c r="AA238" s="574"/>
      <c r="AB238" s="574"/>
      <c r="AC238" s="574"/>
      <c r="AD238" s="574"/>
      <c r="AE238" s="574"/>
      <c r="AF238" s="574"/>
      <c r="AG238" s="574"/>
      <c r="AH238" s="574"/>
      <c r="AI238" s="574"/>
      <c r="AJ238" s="574"/>
      <c r="AK238" s="574"/>
    </row>
    <row r="239" spans="1:37" s="143" customFormat="1" ht="15.75">
      <c r="A239" s="596"/>
      <c r="B239" s="597" t="s">
        <v>330</v>
      </c>
      <c r="C239" s="598">
        <v>2</v>
      </c>
      <c r="D239" s="598">
        <v>1</v>
      </c>
      <c r="E239" s="528"/>
      <c r="F239" s="529"/>
      <c r="G239" s="488">
        <v>6</v>
      </c>
      <c r="H239" s="4">
        <f>G239*30</f>
        <v>180</v>
      </c>
      <c r="I239" s="599">
        <f>J239+K239+L239</f>
        <v>99</v>
      </c>
      <c r="J239" s="4"/>
      <c r="K239" s="4"/>
      <c r="L239" s="4">
        <v>99</v>
      </c>
      <c r="M239" s="600">
        <f>H239-I239</f>
        <v>81</v>
      </c>
      <c r="N239" s="594">
        <v>3</v>
      </c>
      <c r="O239" s="594">
        <v>3</v>
      </c>
      <c r="P239" s="594">
        <v>3</v>
      </c>
      <c r="Q239" s="594"/>
      <c r="R239" s="594"/>
      <c r="S239" s="594"/>
      <c r="T239" s="595"/>
      <c r="U239" s="595"/>
      <c r="V239" s="595"/>
      <c r="W239" s="443"/>
      <c r="X239" s="443"/>
      <c r="Z239" s="574"/>
      <c r="AA239" s="574"/>
      <c r="AB239" s="574"/>
      <c r="AC239" s="574"/>
      <c r="AD239" s="574"/>
      <c r="AE239" s="574"/>
      <c r="AF239" s="574"/>
      <c r="AG239" s="574"/>
      <c r="AH239" s="574"/>
      <c r="AI239" s="574"/>
      <c r="AJ239" s="574"/>
      <c r="AK239" s="574"/>
    </row>
    <row r="240" spans="1:37" s="143" customFormat="1" ht="15.75">
      <c r="A240" s="596"/>
      <c r="B240" s="597" t="s">
        <v>330</v>
      </c>
      <c r="C240" s="598">
        <v>4</v>
      </c>
      <c r="D240" s="598">
        <v>3</v>
      </c>
      <c r="E240" s="528"/>
      <c r="F240" s="529"/>
      <c r="G240" s="488">
        <v>6</v>
      </c>
      <c r="H240" s="4">
        <f>G240*30</f>
        <v>180</v>
      </c>
      <c r="I240" s="599">
        <f>J240+K240+L240</f>
        <v>99</v>
      </c>
      <c r="J240" s="4"/>
      <c r="K240" s="4"/>
      <c r="L240" s="4">
        <v>99</v>
      </c>
      <c r="M240" s="600">
        <f>H240-I240</f>
        <v>81</v>
      </c>
      <c r="N240" s="594"/>
      <c r="O240" s="594"/>
      <c r="P240" s="594"/>
      <c r="Q240" s="594">
        <v>3</v>
      </c>
      <c r="R240" s="594">
        <v>3</v>
      </c>
      <c r="S240" s="594">
        <v>3</v>
      </c>
      <c r="T240" s="595"/>
      <c r="U240" s="595"/>
      <c r="V240" s="595"/>
      <c r="W240" s="443"/>
      <c r="X240" s="443"/>
      <c r="Z240" s="574"/>
      <c r="AA240" s="574"/>
      <c r="AB240" s="574"/>
      <c r="AC240" s="574"/>
      <c r="AD240" s="574"/>
      <c r="AE240" s="574"/>
      <c r="AF240" s="574"/>
      <c r="AG240" s="574"/>
      <c r="AH240" s="574"/>
      <c r="AI240" s="574"/>
      <c r="AJ240" s="574"/>
      <c r="AK240" s="574"/>
    </row>
    <row r="241" spans="1:37" s="143" customFormat="1" ht="15.75">
      <c r="A241" s="596"/>
      <c r="B241" s="597" t="s">
        <v>330</v>
      </c>
      <c r="C241" s="598">
        <v>6</v>
      </c>
      <c r="D241" s="598">
        <v>5</v>
      </c>
      <c r="E241" s="528"/>
      <c r="F241" s="529"/>
      <c r="G241" s="488">
        <v>4</v>
      </c>
      <c r="H241" s="4">
        <f>G241*30</f>
        <v>120</v>
      </c>
      <c r="I241" s="599">
        <f>J241+K241+L241</f>
        <v>66</v>
      </c>
      <c r="J241" s="4"/>
      <c r="K241" s="4"/>
      <c r="L241" s="4">
        <v>66</v>
      </c>
      <c r="M241" s="600">
        <f>H241-I241</f>
        <v>54</v>
      </c>
      <c r="N241" s="594"/>
      <c r="O241" s="594"/>
      <c r="P241" s="594"/>
      <c r="Q241" s="594"/>
      <c r="R241" s="594"/>
      <c r="S241" s="594"/>
      <c r="T241" s="595">
        <v>2</v>
      </c>
      <c r="U241" s="595">
        <v>2</v>
      </c>
      <c r="V241" s="595">
        <v>2</v>
      </c>
      <c r="W241" s="443"/>
      <c r="X241" s="443"/>
      <c r="Z241" s="574"/>
      <c r="AA241" s="574"/>
      <c r="AB241" s="574"/>
      <c r="AC241" s="574"/>
      <c r="AD241" s="574"/>
      <c r="AE241" s="574"/>
      <c r="AF241" s="574"/>
      <c r="AG241" s="574"/>
      <c r="AH241" s="574"/>
      <c r="AI241" s="574"/>
      <c r="AJ241" s="574"/>
      <c r="AK241" s="574"/>
    </row>
    <row r="242" spans="1:37" s="143" customFormat="1" ht="15.75">
      <c r="A242" s="596"/>
      <c r="B242" s="597" t="s">
        <v>330</v>
      </c>
      <c r="C242" s="598">
        <v>7</v>
      </c>
      <c r="D242" s="598"/>
      <c r="E242" s="528"/>
      <c r="F242" s="529"/>
      <c r="G242" s="488">
        <v>2</v>
      </c>
      <c r="H242" s="4">
        <f>G242*30</f>
        <v>60</v>
      </c>
      <c r="I242" s="599">
        <f>J242+K242+L242</f>
        <v>30</v>
      </c>
      <c r="J242" s="4"/>
      <c r="K242" s="4"/>
      <c r="L242" s="4">
        <v>30</v>
      </c>
      <c r="M242" s="600">
        <f>H242-I242</f>
        <v>30</v>
      </c>
      <c r="N242" s="594"/>
      <c r="O242" s="594"/>
      <c r="P242" s="594"/>
      <c r="Q242" s="594"/>
      <c r="R242" s="594"/>
      <c r="S242" s="594"/>
      <c r="T242" s="595"/>
      <c r="U242" s="595"/>
      <c r="V242" s="595"/>
      <c r="W242" s="443"/>
      <c r="X242" s="443"/>
      <c r="Z242" s="574"/>
      <c r="AA242" s="574"/>
      <c r="AB242" s="574"/>
      <c r="AC242" s="574"/>
      <c r="AD242" s="574"/>
      <c r="AE242" s="574"/>
      <c r="AF242" s="574"/>
      <c r="AG242" s="574"/>
      <c r="AH242" s="574"/>
      <c r="AI242" s="574"/>
      <c r="AJ242" s="574"/>
      <c r="AK242" s="574"/>
    </row>
    <row r="243" spans="2:29" ht="18.75">
      <c r="B243" s="525"/>
      <c r="C243" s="525"/>
      <c r="D243" s="525"/>
      <c r="E243" s="525"/>
      <c r="F243" s="525"/>
      <c r="G243" s="526"/>
      <c r="H243" s="24"/>
      <c r="I243" s="24"/>
      <c r="J243" s="24"/>
      <c r="K243" s="24"/>
      <c r="L243" s="2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4:29" ht="37.5" customHeight="1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2" t="s">
        <v>97</v>
      </c>
      <c r="C245" s="833"/>
      <c r="D245" s="834"/>
      <c r="E245" s="834"/>
      <c r="F245" s="834"/>
      <c r="G245" s="834"/>
      <c r="H245" s="826" t="s">
        <v>98</v>
      </c>
      <c r="I245" s="827"/>
      <c r="J245" s="827"/>
      <c r="K245" s="827"/>
      <c r="L245" s="82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143"/>
      <c r="C247" s="828"/>
      <c r="D247" s="829"/>
      <c r="E247" s="829"/>
      <c r="F247" s="829"/>
      <c r="G247" s="829"/>
      <c r="H247" s="127"/>
      <c r="I247" s="830"/>
      <c r="J247" s="831"/>
      <c r="K247" s="83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8.75">
      <c r="B248" s="352" t="s">
        <v>269</v>
      </c>
      <c r="C248" s="824"/>
      <c r="D248" s="825"/>
      <c r="E248" s="825"/>
      <c r="F248" s="825"/>
      <c r="G248" s="825"/>
      <c r="H248" s="826" t="s">
        <v>345</v>
      </c>
      <c r="I248" s="827"/>
      <c r="J248" s="827"/>
      <c r="K248" s="827"/>
      <c r="L248" s="82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5.75">
      <c r="B249" s="35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5.75">
      <c r="B250" s="14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8.75">
      <c r="B251" s="354" t="s">
        <v>291</v>
      </c>
      <c r="C251" s="824"/>
      <c r="D251" s="825"/>
      <c r="E251" s="825"/>
      <c r="F251" s="825"/>
      <c r="G251" s="825"/>
      <c r="H251" s="826" t="s">
        <v>345</v>
      </c>
      <c r="I251" s="827"/>
      <c r="J251" s="827"/>
      <c r="K251" s="827"/>
      <c r="L251" s="82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4:29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4:29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4:29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4:29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</sheetData>
  <sheetProtection/>
  <mergeCells count="75">
    <mergeCell ref="Q3:S4"/>
    <mergeCell ref="Q229:S229"/>
    <mergeCell ref="A155:A163"/>
    <mergeCell ref="A164:A169"/>
    <mergeCell ref="A61:B61"/>
    <mergeCell ref="N6:AB6"/>
    <mergeCell ref="A59:B59"/>
    <mergeCell ref="I3:L3"/>
    <mergeCell ref="F5:F7"/>
    <mergeCell ref="J4:L4"/>
    <mergeCell ref="AW6:AY7"/>
    <mergeCell ref="A228:M228"/>
    <mergeCell ref="J5:J7"/>
    <mergeCell ref="K5:K7"/>
    <mergeCell ref="I4:I7"/>
    <mergeCell ref="A9:AB9"/>
    <mergeCell ref="A140:B140"/>
    <mergeCell ref="A138:B138"/>
    <mergeCell ref="A139:B139"/>
    <mergeCell ref="A62:AB62"/>
    <mergeCell ref="N230:V230"/>
    <mergeCell ref="N229:P229"/>
    <mergeCell ref="T229:V229"/>
    <mergeCell ref="A153:AB153"/>
    <mergeCell ref="A221:B221"/>
    <mergeCell ref="A154:AB154"/>
    <mergeCell ref="A170:A178"/>
    <mergeCell ref="A200:A205"/>
    <mergeCell ref="A219:B219"/>
    <mergeCell ref="A220:B220"/>
    <mergeCell ref="A1:AC1"/>
    <mergeCell ref="D4:D7"/>
    <mergeCell ref="M3:M7"/>
    <mergeCell ref="N3:P4"/>
    <mergeCell ref="N2:AB2"/>
    <mergeCell ref="Z3:AB4"/>
    <mergeCell ref="W3:Y4"/>
    <mergeCell ref="T3:V4"/>
    <mergeCell ref="A2:A7"/>
    <mergeCell ref="B2:B7"/>
    <mergeCell ref="E4:F4"/>
    <mergeCell ref="H3:H7"/>
    <mergeCell ref="A60:B60"/>
    <mergeCell ref="A10:AB10"/>
    <mergeCell ref="C2:F3"/>
    <mergeCell ref="C4:C7"/>
    <mergeCell ref="E5:E7"/>
    <mergeCell ref="H2:M2"/>
    <mergeCell ref="L5:L7"/>
    <mergeCell ref="G2:G7"/>
    <mergeCell ref="C248:G248"/>
    <mergeCell ref="C251:G251"/>
    <mergeCell ref="H245:L245"/>
    <mergeCell ref="H248:L248"/>
    <mergeCell ref="H251:L251"/>
    <mergeCell ref="C247:G247"/>
    <mergeCell ref="I247:K247"/>
    <mergeCell ref="C245:G245"/>
    <mergeCell ref="A188:A193"/>
    <mergeCell ref="A141:AB141"/>
    <mergeCell ref="A147:F147"/>
    <mergeCell ref="A150:AB150"/>
    <mergeCell ref="A152:F152"/>
    <mergeCell ref="A148:B148"/>
    <mergeCell ref="A149:B149"/>
    <mergeCell ref="A194:A199"/>
    <mergeCell ref="A232:V232"/>
    <mergeCell ref="A179:AB179"/>
    <mergeCell ref="A180:A187"/>
    <mergeCell ref="A206:A211"/>
    <mergeCell ref="A212:A217"/>
    <mergeCell ref="A218:F218"/>
    <mergeCell ref="A225:M225"/>
    <mergeCell ref="A226:M226"/>
    <mergeCell ref="A227:M22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52" max="25" man="1"/>
    <brk id="204" max="28" man="1"/>
    <brk id="230" max="25" man="1"/>
  </rowBreaks>
  <ignoredErrors>
    <ignoredError sqref="G25 G29 G112 G36 G39 G42 G149 G53 G80 G88 G92 G148:H1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6"/>
  <sheetViews>
    <sheetView view="pageBreakPreview" zoomScale="70" zoomScaleNormal="70" zoomScaleSheetLayoutView="70" zoomScalePageLayoutView="0" workbookViewId="0" topLeftCell="A1">
      <selection activeCell="C8" sqref="C1:U16384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6.875" style="2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16384" width="9.125" style="2" customWidth="1"/>
  </cols>
  <sheetData>
    <row r="1" spans="1:29" s="3" customFormat="1" ht="18.75" customHeight="1" thickBot="1">
      <c r="A1" s="858" t="s">
        <v>389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</row>
    <row r="2" spans="1:29" s="143" customFormat="1" ht="27.75" customHeight="1">
      <c r="A2" s="871" t="s">
        <v>3</v>
      </c>
      <c r="B2" s="873" t="s">
        <v>109</v>
      </c>
      <c r="C2" s="841" t="s">
        <v>257</v>
      </c>
      <c r="D2" s="842"/>
      <c r="E2" s="843"/>
      <c r="F2" s="844"/>
      <c r="G2" s="856" t="s">
        <v>110</v>
      </c>
      <c r="H2" s="853" t="s">
        <v>111</v>
      </c>
      <c r="I2" s="854"/>
      <c r="J2" s="854"/>
      <c r="K2" s="854"/>
      <c r="L2" s="854"/>
      <c r="M2" s="855"/>
      <c r="N2" s="853" t="s">
        <v>256</v>
      </c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66"/>
      <c r="AC2" s="142"/>
    </row>
    <row r="3" spans="1:28" s="143" customFormat="1" ht="12.75" customHeight="1">
      <c r="A3" s="872"/>
      <c r="B3" s="874"/>
      <c r="C3" s="845"/>
      <c r="D3" s="846"/>
      <c r="E3" s="847"/>
      <c r="F3" s="848"/>
      <c r="G3" s="857"/>
      <c r="H3" s="837" t="s">
        <v>112</v>
      </c>
      <c r="I3" s="894" t="s">
        <v>113</v>
      </c>
      <c r="J3" s="895"/>
      <c r="K3" s="895"/>
      <c r="L3" s="896"/>
      <c r="M3" s="859" t="s">
        <v>114</v>
      </c>
      <c r="N3" s="860" t="s">
        <v>254</v>
      </c>
      <c r="O3" s="861"/>
      <c r="P3" s="862"/>
      <c r="Q3" s="867" t="s">
        <v>255</v>
      </c>
      <c r="R3" s="861"/>
      <c r="S3" s="862"/>
      <c r="T3" s="867" t="s">
        <v>107</v>
      </c>
      <c r="U3" s="861"/>
      <c r="V3" s="862"/>
      <c r="W3" s="867" t="s">
        <v>107</v>
      </c>
      <c r="X3" s="861"/>
      <c r="Y3" s="862"/>
      <c r="Z3" s="867" t="s">
        <v>108</v>
      </c>
      <c r="AA3" s="861"/>
      <c r="AB3" s="868"/>
    </row>
    <row r="4" spans="1:28" s="143" customFormat="1" ht="18.75" customHeight="1">
      <c r="A4" s="872"/>
      <c r="B4" s="874"/>
      <c r="C4" s="849" t="s">
        <v>115</v>
      </c>
      <c r="D4" s="849" t="s">
        <v>116</v>
      </c>
      <c r="E4" s="835" t="s">
        <v>117</v>
      </c>
      <c r="F4" s="836"/>
      <c r="G4" s="857"/>
      <c r="H4" s="837"/>
      <c r="I4" s="849" t="s">
        <v>118</v>
      </c>
      <c r="J4" s="900" t="s">
        <v>119</v>
      </c>
      <c r="K4" s="901"/>
      <c r="L4" s="902"/>
      <c r="M4" s="859"/>
      <c r="N4" s="863"/>
      <c r="O4" s="864"/>
      <c r="P4" s="865"/>
      <c r="Q4" s="869"/>
      <c r="R4" s="864"/>
      <c r="S4" s="865"/>
      <c r="T4" s="869"/>
      <c r="U4" s="864"/>
      <c r="V4" s="865"/>
      <c r="W4" s="869"/>
      <c r="X4" s="864"/>
      <c r="Y4" s="865"/>
      <c r="Z4" s="869"/>
      <c r="AA4" s="864"/>
      <c r="AB4" s="870"/>
    </row>
    <row r="5" spans="1:28" s="143" customFormat="1" ht="15.75">
      <c r="A5" s="872"/>
      <c r="B5" s="874"/>
      <c r="C5" s="849"/>
      <c r="D5" s="849"/>
      <c r="E5" s="850" t="s">
        <v>120</v>
      </c>
      <c r="F5" s="897" t="s">
        <v>121</v>
      </c>
      <c r="G5" s="857"/>
      <c r="H5" s="837"/>
      <c r="I5" s="849"/>
      <c r="J5" s="850" t="s">
        <v>122</v>
      </c>
      <c r="K5" s="850" t="s">
        <v>123</v>
      </c>
      <c r="L5" s="850" t="s">
        <v>124</v>
      </c>
      <c r="M5" s="859"/>
      <c r="N5" s="145">
        <v>1</v>
      </c>
      <c r="O5" s="146" t="s">
        <v>258</v>
      </c>
      <c r="P5" s="146" t="s">
        <v>259</v>
      </c>
      <c r="Q5" s="146">
        <v>3</v>
      </c>
      <c r="R5" s="146" t="s">
        <v>260</v>
      </c>
      <c r="S5" s="146" t="s">
        <v>261</v>
      </c>
      <c r="T5" s="146">
        <v>5</v>
      </c>
      <c r="U5" s="146" t="s">
        <v>349</v>
      </c>
      <c r="V5" s="146" t="s">
        <v>350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</row>
    <row r="6" spans="1:28" s="143" customFormat="1" ht="21" customHeight="1" thickBot="1">
      <c r="A6" s="872"/>
      <c r="B6" s="874"/>
      <c r="C6" s="849"/>
      <c r="D6" s="849"/>
      <c r="E6" s="851"/>
      <c r="F6" s="898"/>
      <c r="G6" s="857"/>
      <c r="H6" s="837"/>
      <c r="I6" s="849"/>
      <c r="J6" s="851"/>
      <c r="K6" s="851"/>
      <c r="L6" s="851"/>
      <c r="M6" s="859"/>
      <c r="N6" s="891" t="s">
        <v>125</v>
      </c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3"/>
    </row>
    <row r="7" spans="1:28" s="143" customFormat="1" ht="30.75" customHeight="1" thickBot="1">
      <c r="A7" s="872"/>
      <c r="B7" s="875"/>
      <c r="C7" s="849"/>
      <c r="D7" s="849"/>
      <c r="E7" s="852"/>
      <c r="F7" s="899"/>
      <c r="G7" s="857"/>
      <c r="H7" s="837"/>
      <c r="I7" s="849"/>
      <c r="J7" s="852"/>
      <c r="K7" s="852"/>
      <c r="L7" s="852"/>
      <c r="M7" s="85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</row>
    <row r="8" spans="1:28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</row>
    <row r="9" spans="1:46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9"/>
      <c r="AN9" s="351"/>
      <c r="AO9" s="510">
        <v>1</v>
      </c>
      <c r="AP9" s="510" t="s">
        <v>258</v>
      </c>
      <c r="AQ9" s="510" t="s">
        <v>259</v>
      </c>
      <c r="AR9" s="510">
        <v>3</v>
      </c>
      <c r="AS9" s="510" t="s">
        <v>260</v>
      </c>
      <c r="AT9" s="510" t="s">
        <v>261</v>
      </c>
    </row>
    <row r="10" spans="1:46" s="143" customFormat="1" ht="18" customHeight="1" thickBot="1">
      <c r="A10" s="840" t="s">
        <v>274</v>
      </c>
      <c r="B10" s="802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0"/>
      <c r="O10" s="800"/>
      <c r="P10" s="800"/>
      <c r="Q10" s="800"/>
      <c r="R10" s="800"/>
      <c r="S10" s="800"/>
      <c r="T10" s="802"/>
      <c r="U10" s="802"/>
      <c r="V10" s="802"/>
      <c r="W10" s="802"/>
      <c r="X10" s="802"/>
      <c r="Y10" s="802"/>
      <c r="Z10" s="802"/>
      <c r="AA10" s="802"/>
      <c r="AB10" s="803"/>
      <c r="AN10" s="351" t="s">
        <v>265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</row>
    <row r="11" spans="1:46" ht="15" customHeight="1">
      <c r="A11" s="182" t="s">
        <v>126</v>
      </c>
      <c r="B11" s="159" t="s">
        <v>230</v>
      </c>
      <c r="C11" s="5"/>
      <c r="D11" s="481"/>
      <c r="E11" s="481"/>
      <c r="F11" s="482"/>
      <c r="G11" s="187">
        <f>G12+G13</f>
        <v>8</v>
      </c>
      <c r="H11" s="483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221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266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</row>
    <row r="12" spans="1:46" ht="15" customHeight="1">
      <c r="A12" s="484"/>
      <c r="B12" s="385" t="s">
        <v>294</v>
      </c>
      <c r="C12" s="485"/>
      <c r="D12" s="486"/>
      <c r="E12" s="232"/>
      <c r="F12" s="487"/>
      <c r="G12" s="488">
        <v>5</v>
      </c>
      <c r="H12" s="8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267</v>
      </c>
      <c r="AO12" s="192"/>
      <c r="AP12" s="192"/>
      <c r="AQ12" s="192"/>
      <c r="AR12" s="192"/>
      <c r="AS12" s="192"/>
      <c r="AT12" s="192"/>
    </row>
    <row r="13" spans="1:29" ht="15" customHeight="1">
      <c r="A13" s="484"/>
      <c r="B13" s="386" t="s">
        <v>34</v>
      </c>
      <c r="C13" s="5"/>
      <c r="D13" s="189" t="s">
        <v>350</v>
      </c>
      <c r="E13" s="481"/>
      <c r="F13" s="482"/>
      <c r="G13" s="187">
        <v>3</v>
      </c>
      <c r="H13" s="81">
        <f aca="true" t="shared" si="1" ref="H13:H55">G13*30</f>
        <v>90</v>
      </c>
      <c r="I13" s="4">
        <f>SUMPRODUCT(N13:V13,$N$7:$V$7)</f>
        <v>34</v>
      </c>
      <c r="J13" s="5"/>
      <c r="K13" s="5"/>
      <c r="L13" s="5">
        <v>34</v>
      </c>
      <c r="M13" s="52">
        <f>H13-L13</f>
        <v>56</v>
      </c>
      <c r="N13" s="489"/>
      <c r="O13" s="485"/>
      <c r="P13" s="490"/>
      <c r="Q13" s="491"/>
      <c r="R13" s="485"/>
      <c r="S13" s="29"/>
      <c r="T13" s="491"/>
      <c r="U13" s="485">
        <v>2</v>
      </c>
      <c r="V13" s="29">
        <v>2</v>
      </c>
      <c r="W13" s="28"/>
      <c r="X13" s="65"/>
      <c r="Y13" s="7"/>
      <c r="Z13" s="18"/>
      <c r="AA13" s="28"/>
      <c r="AB13" s="7"/>
      <c r="AC13" s="29"/>
    </row>
    <row r="14" spans="1:31" ht="15" customHeight="1">
      <c r="A14" s="177" t="s">
        <v>127</v>
      </c>
      <c r="B14" s="160" t="s">
        <v>292</v>
      </c>
      <c r="C14" s="4" t="s">
        <v>99</v>
      </c>
      <c r="D14" s="492"/>
      <c r="E14" s="492"/>
      <c r="F14" s="493"/>
      <c r="G14" s="60">
        <v>4</v>
      </c>
      <c r="H14" s="81">
        <f t="shared" si="1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</row>
    <row r="15" spans="1:31" ht="15" customHeight="1">
      <c r="A15" s="177" t="s">
        <v>128</v>
      </c>
      <c r="B15" s="55" t="s">
        <v>101</v>
      </c>
      <c r="C15" s="4"/>
      <c r="D15" s="494"/>
      <c r="E15" s="494"/>
      <c r="F15" s="493"/>
      <c r="G15" s="488">
        <v>3</v>
      </c>
      <c r="H15" s="81">
        <f t="shared" si="1"/>
        <v>90</v>
      </c>
      <c r="I15" s="58"/>
      <c r="J15" s="128"/>
      <c r="K15" s="128"/>
      <c r="L15" s="128"/>
      <c r="M15" s="495"/>
      <c r="N15" s="496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</row>
    <row r="16" spans="1:29" ht="15" customHeight="1">
      <c r="A16" s="4"/>
      <c r="B16" s="160" t="s">
        <v>294</v>
      </c>
      <c r="C16" s="12"/>
      <c r="D16" s="497"/>
      <c r="E16" s="497"/>
      <c r="F16" s="389"/>
      <c r="G16" s="60">
        <v>2</v>
      </c>
      <c r="H16" s="81">
        <f t="shared" si="1"/>
        <v>60</v>
      </c>
      <c r="I16" s="58"/>
      <c r="J16" s="131"/>
      <c r="K16" s="131"/>
      <c r="L16" s="131"/>
      <c r="M16" s="498"/>
      <c r="N16" s="496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</row>
    <row r="17" spans="1:29" ht="15" customHeight="1">
      <c r="A17" s="177"/>
      <c r="B17" s="160" t="s">
        <v>34</v>
      </c>
      <c r="C17" s="58"/>
      <c r="D17" s="189" t="s">
        <v>258</v>
      </c>
      <c r="E17" s="499"/>
      <c r="F17" s="500"/>
      <c r="G17" s="488">
        <v>1</v>
      </c>
      <c r="H17" s="81">
        <f t="shared" si="1"/>
        <v>30</v>
      </c>
      <c r="I17" s="189">
        <v>10</v>
      </c>
      <c r="J17" s="189">
        <v>10</v>
      </c>
      <c r="K17" s="189"/>
      <c r="L17" s="189"/>
      <c r="M17" s="501">
        <f>H17-I17</f>
        <v>20</v>
      </c>
      <c r="N17" s="502"/>
      <c r="O17" s="503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</row>
    <row r="18" spans="1:29" ht="15" customHeight="1">
      <c r="A18" s="177" t="s">
        <v>132</v>
      </c>
      <c r="B18" s="160" t="s">
        <v>293</v>
      </c>
      <c r="C18" s="4" t="s">
        <v>99</v>
      </c>
      <c r="D18" s="492"/>
      <c r="E18" s="492"/>
      <c r="F18" s="488"/>
      <c r="G18" s="390">
        <v>3</v>
      </c>
      <c r="H18" s="81">
        <f t="shared" si="1"/>
        <v>90</v>
      </c>
      <c r="I18" s="58"/>
      <c r="J18" s="58"/>
      <c r="K18" s="58"/>
      <c r="L18" s="58"/>
      <c r="M18" s="135"/>
      <c r="N18" s="504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</row>
    <row r="19" spans="1:29" ht="15" customHeight="1">
      <c r="A19" s="177" t="s">
        <v>133</v>
      </c>
      <c r="B19" s="55" t="s">
        <v>103</v>
      </c>
      <c r="C19" s="492"/>
      <c r="D19" s="505"/>
      <c r="E19" s="505"/>
      <c r="F19" s="60"/>
      <c r="G19" s="488">
        <f>G20+G21</f>
        <v>4</v>
      </c>
      <c r="H19" s="81">
        <f t="shared" si="1"/>
        <v>120</v>
      </c>
      <c r="I19" s="58"/>
      <c r="J19" s="128"/>
      <c r="K19" s="128"/>
      <c r="L19" s="128"/>
      <c r="M19" s="495"/>
      <c r="N19" s="496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</row>
    <row r="20" spans="1:29" ht="15" customHeight="1">
      <c r="A20" s="174"/>
      <c r="B20" s="160" t="s">
        <v>294</v>
      </c>
      <c r="C20" s="492"/>
      <c r="D20" s="505"/>
      <c r="E20" s="505"/>
      <c r="F20" s="390"/>
      <c r="G20" s="488">
        <v>3</v>
      </c>
      <c r="H20" s="81">
        <f t="shared" si="1"/>
        <v>90</v>
      </c>
      <c r="I20" s="58"/>
      <c r="J20" s="128"/>
      <c r="K20" s="128"/>
      <c r="L20" s="128"/>
      <c r="M20" s="495"/>
      <c r="N20" s="506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</row>
    <row r="21" spans="1:29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07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</row>
    <row r="22" spans="1:29" ht="15" customHeight="1" hidden="1">
      <c r="A22" s="174" t="s">
        <v>135</v>
      </c>
      <c r="B22" s="387"/>
      <c r="C22" s="81"/>
      <c r="D22" s="5"/>
      <c r="E22" s="5"/>
      <c r="F22" s="52"/>
      <c r="G22" s="545"/>
      <c r="H22" s="81"/>
      <c r="I22" s="5"/>
      <c r="J22" s="5"/>
      <c r="K22" s="5"/>
      <c r="L22" s="5"/>
      <c r="M22" s="79"/>
      <c r="N22" s="508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</row>
    <row r="23" spans="1:29" ht="15" customHeight="1" hidden="1">
      <c r="A23" s="174"/>
      <c r="B23" s="387"/>
      <c r="C23" s="81"/>
      <c r="D23" s="5"/>
      <c r="E23" s="5"/>
      <c r="F23" s="52"/>
      <c r="G23" s="545"/>
      <c r="H23" s="81"/>
      <c r="I23" s="5"/>
      <c r="J23" s="5"/>
      <c r="K23" s="5"/>
      <c r="L23" s="5"/>
      <c r="M23" s="79"/>
      <c r="N23" s="508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</row>
    <row r="24" spans="1:29" ht="15" customHeight="1" hidden="1">
      <c r="A24" s="174"/>
      <c r="B24" s="387"/>
      <c r="C24" s="81"/>
      <c r="D24" s="5"/>
      <c r="E24" s="5"/>
      <c r="F24" s="52"/>
      <c r="G24" s="545"/>
      <c r="H24" s="81"/>
      <c r="I24" s="5"/>
      <c r="J24" s="5"/>
      <c r="K24" s="5"/>
      <c r="L24" s="5"/>
      <c r="M24" s="79"/>
      <c r="N24" s="508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</row>
    <row r="25" spans="1:29" ht="15.75" customHeight="1">
      <c r="A25" s="183" t="s">
        <v>275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1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</row>
    <row r="26" spans="1:29" ht="15.75" customHeight="1">
      <c r="A26" s="31"/>
      <c r="B26" s="160" t="s">
        <v>294</v>
      </c>
      <c r="C26" s="11"/>
      <c r="D26" s="9"/>
      <c r="E26" s="9"/>
      <c r="F26" s="9"/>
      <c r="G26" s="5">
        <v>1</v>
      </c>
      <c r="H26" s="81">
        <f t="shared" si="1"/>
        <v>30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</row>
    <row r="27" spans="1:29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4.5</v>
      </c>
      <c r="H27" s="81">
        <f t="shared" si="1"/>
        <v>135</v>
      </c>
      <c r="I27" s="4">
        <f>SUMPRODUCT(N27:V27,$N$7:$V$7)</f>
        <v>45</v>
      </c>
      <c r="J27" s="10">
        <v>30</v>
      </c>
      <c r="K27" s="11"/>
      <c r="L27" s="10">
        <v>15</v>
      </c>
      <c r="M27" s="27">
        <f>H27-I27</f>
        <v>90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</row>
    <row r="28" spans="1:46" ht="15.75" customHeight="1" hidden="1">
      <c r="A28" s="50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18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10">
        <v>1</v>
      </c>
      <c r="AP28" s="510" t="s">
        <v>258</v>
      </c>
      <c r="AQ28" s="510" t="s">
        <v>259</v>
      </c>
      <c r="AR28" s="510">
        <v>3</v>
      </c>
      <c r="AS28" s="510" t="s">
        <v>260</v>
      </c>
      <c r="AT28" s="510" t="s">
        <v>261</v>
      </c>
    </row>
    <row r="29" spans="1:46" ht="15.75" customHeight="1">
      <c r="A29" s="186" t="s">
        <v>276</v>
      </c>
      <c r="B29" s="638" t="s">
        <v>298</v>
      </c>
      <c r="C29" s="500"/>
      <c r="D29" s="510"/>
      <c r="E29" s="510"/>
      <c r="F29" s="510"/>
      <c r="G29" s="78">
        <f>SUM(G30:G31)</f>
        <v>2</v>
      </c>
      <c r="H29" s="81">
        <f t="shared" si="1"/>
        <v>60</v>
      </c>
      <c r="I29" s="510"/>
      <c r="J29" s="510"/>
      <c r="K29" s="510"/>
      <c r="L29" s="510"/>
      <c r="M29" s="511"/>
      <c r="N29" s="512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265</v>
      </c>
      <c r="AO29" s="351">
        <f aca="true" t="shared" si="2" ref="AO29:AT29">COUNTIF($C25:$C58,AO28)</f>
        <v>2</v>
      </c>
      <c r="AP29" s="351">
        <f t="shared" si="2"/>
        <v>2</v>
      </c>
      <c r="AQ29" s="351">
        <f t="shared" si="2"/>
        <v>1</v>
      </c>
      <c r="AR29" s="351">
        <f t="shared" si="2"/>
        <v>0</v>
      </c>
      <c r="AS29" s="351">
        <f t="shared" si="2"/>
        <v>0</v>
      </c>
      <c r="AT29" s="351">
        <f t="shared" si="2"/>
        <v>0</v>
      </c>
    </row>
    <row r="30" spans="1:46" ht="15.75" customHeight="1">
      <c r="A30" s="4"/>
      <c r="B30" s="263" t="s">
        <v>294</v>
      </c>
      <c r="C30" s="500"/>
      <c r="D30" s="510"/>
      <c r="E30" s="510"/>
      <c r="F30" s="510"/>
      <c r="G30" s="595">
        <v>0.5</v>
      </c>
      <c r="H30" s="81">
        <f t="shared" si="1"/>
        <v>15</v>
      </c>
      <c r="I30" s="510"/>
      <c r="J30" s="510"/>
      <c r="K30" s="510"/>
      <c r="L30" s="510"/>
      <c r="M30" s="511"/>
      <c r="N30" s="512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38.5</v>
      </c>
      <c r="AN30" s="192" t="s">
        <v>266</v>
      </c>
      <c r="AO30" s="351">
        <f aca="true" t="shared" si="3" ref="AO30:AT30">COUNTIF($D25:$D58,AO28)</f>
        <v>3</v>
      </c>
      <c r="AP30" s="351">
        <f t="shared" si="3"/>
        <v>1</v>
      </c>
      <c r="AQ30" s="351">
        <f t="shared" si="3"/>
        <v>1</v>
      </c>
      <c r="AR30" s="351">
        <f t="shared" si="3"/>
        <v>0</v>
      </c>
      <c r="AS30" s="351">
        <f t="shared" si="3"/>
        <v>0</v>
      </c>
      <c r="AT30" s="351">
        <f t="shared" si="3"/>
        <v>0</v>
      </c>
    </row>
    <row r="31" spans="1:46" ht="15.75" customHeight="1">
      <c r="A31" s="513"/>
      <c r="B31" s="263" t="s">
        <v>34</v>
      </c>
      <c r="C31" s="500"/>
      <c r="D31" s="510">
        <v>1</v>
      </c>
      <c r="E31" s="510"/>
      <c r="F31" s="510"/>
      <c r="G31" s="595">
        <v>1.5</v>
      </c>
      <c r="H31" s="81">
        <f t="shared" si="1"/>
        <v>45</v>
      </c>
      <c r="I31" s="510">
        <f>J31+K31+L31</f>
        <v>15</v>
      </c>
      <c r="J31" s="510">
        <v>8</v>
      </c>
      <c r="K31" s="510"/>
      <c r="L31" s="510">
        <v>7</v>
      </c>
      <c r="M31" s="511">
        <f>H31-I31</f>
        <v>30</v>
      </c>
      <c r="N31" s="512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267</v>
      </c>
      <c r="AO31" s="192"/>
      <c r="AP31" s="192"/>
      <c r="AQ31" s="192"/>
      <c r="AR31" s="192"/>
      <c r="AS31" s="192"/>
      <c r="AT31" s="192"/>
    </row>
    <row r="32" spans="1:46" ht="15.75" customHeight="1">
      <c r="A32" s="186" t="s">
        <v>277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1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268</v>
      </c>
      <c r="AO32" s="192"/>
      <c r="AP32" s="192"/>
      <c r="AQ32" s="192"/>
      <c r="AR32" s="192"/>
      <c r="AS32" s="192"/>
      <c r="AT32" s="192"/>
    </row>
    <row r="33" spans="1:29" ht="15.75" customHeight="1">
      <c r="A33" s="28"/>
      <c r="B33" s="160" t="s">
        <v>294</v>
      </c>
      <c r="C33" s="11"/>
      <c r="D33" s="9"/>
      <c r="E33" s="9"/>
      <c r="F33" s="9"/>
      <c r="G33" s="5">
        <v>0</v>
      </c>
      <c r="H33" s="81">
        <f t="shared" si="1"/>
        <v>0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</row>
    <row r="34" spans="1:29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3</v>
      </c>
      <c r="H34" s="81">
        <f t="shared" si="1"/>
        <v>90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60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</row>
    <row r="35" spans="1:29" ht="15.75" customHeight="1">
      <c r="A35" s="190"/>
      <c r="B35" s="160" t="s">
        <v>34</v>
      </c>
      <c r="C35" s="11" t="s">
        <v>258</v>
      </c>
      <c r="D35" s="11"/>
      <c r="E35" s="11"/>
      <c r="F35" s="9"/>
      <c r="G35" s="5">
        <v>2.5</v>
      </c>
      <c r="H35" s="81">
        <f t="shared" si="1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</row>
    <row r="36" spans="1:29" ht="15.75" customHeight="1">
      <c r="A36" s="184" t="s">
        <v>278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1"/>
        <v>120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</row>
    <row r="37" spans="1:29" ht="15.75" customHeight="1">
      <c r="A37" s="31"/>
      <c r="B37" s="160" t="s">
        <v>294</v>
      </c>
      <c r="C37" s="11"/>
      <c r="D37" s="9"/>
      <c r="E37" s="9"/>
      <c r="F37" s="9"/>
      <c r="G37" s="5">
        <v>1</v>
      </c>
      <c r="H37" s="81">
        <f t="shared" si="1"/>
        <v>30</v>
      </c>
      <c r="I37" s="4"/>
      <c r="J37" s="10"/>
      <c r="K37" s="11"/>
      <c r="L37" s="11"/>
      <c r="M37" s="27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</row>
    <row r="38" spans="1:29" ht="15.75" customHeight="1">
      <c r="A38" s="185"/>
      <c r="B38" s="160" t="s">
        <v>34</v>
      </c>
      <c r="C38" s="11" t="s">
        <v>258</v>
      </c>
      <c r="D38" s="9"/>
      <c r="E38" s="9"/>
      <c r="F38" s="9"/>
      <c r="G38" s="5">
        <v>3</v>
      </c>
      <c r="H38" s="81">
        <f t="shared" si="1"/>
        <v>90</v>
      </c>
      <c r="I38" s="4">
        <f>SUMPRODUCT(N38:V38,$N$7:$V$7)</f>
        <v>27</v>
      </c>
      <c r="J38" s="10">
        <v>18</v>
      </c>
      <c r="K38" s="11"/>
      <c r="L38" s="10">
        <v>9</v>
      </c>
      <c r="M38" s="27">
        <f>H38-I38</f>
        <v>63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</row>
    <row r="39" spans="1:29" ht="15.75" customHeight="1">
      <c r="A39" s="184" t="s">
        <v>279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1"/>
        <v>105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</row>
    <row r="40" spans="1:29" ht="15.75" customHeight="1">
      <c r="A40" s="31"/>
      <c r="B40" s="160" t="s">
        <v>294</v>
      </c>
      <c r="C40" s="11"/>
      <c r="D40" s="9"/>
      <c r="E40" s="9"/>
      <c r="F40" s="9"/>
      <c r="G40" s="5"/>
      <c r="H40" s="81">
        <f t="shared" si="1"/>
        <v>0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</row>
    <row r="41" spans="1:29" ht="15.75" customHeight="1">
      <c r="A41" s="184"/>
      <c r="B41" s="160" t="s">
        <v>34</v>
      </c>
      <c r="C41" s="11"/>
      <c r="D41" s="11" t="s">
        <v>259</v>
      </c>
      <c r="E41" s="11"/>
      <c r="F41" s="9"/>
      <c r="G41" s="5">
        <v>3.5</v>
      </c>
      <c r="H41" s="81">
        <f t="shared" si="1"/>
        <v>105</v>
      </c>
      <c r="I41" s="4">
        <f>SUMPRODUCT(N41:V41,$N$7:$V$7)</f>
        <v>36</v>
      </c>
      <c r="J41" s="10">
        <v>18</v>
      </c>
      <c r="K41" s="11">
        <v>18</v>
      </c>
      <c r="L41" s="10"/>
      <c r="M41" s="27">
        <f>H41-I41</f>
        <v>69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</row>
    <row r="42" spans="1:29" ht="15.75" customHeight="1">
      <c r="A42" s="184" t="s">
        <v>280</v>
      </c>
      <c r="B42" s="70" t="s">
        <v>54</v>
      </c>
      <c r="C42" s="11"/>
      <c r="D42" s="9"/>
      <c r="E42" s="9"/>
      <c r="F42" s="9"/>
      <c r="G42" s="5">
        <v>11</v>
      </c>
      <c r="H42" s="81">
        <f t="shared" si="1"/>
        <v>330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</row>
    <row r="43" spans="1:29" ht="15.75" customHeight="1">
      <c r="A43" s="184"/>
      <c r="B43" s="160" t="s">
        <v>294</v>
      </c>
      <c r="C43" s="11"/>
      <c r="D43" s="9"/>
      <c r="E43" s="9"/>
      <c r="F43" s="9"/>
      <c r="G43" s="5">
        <v>1.5</v>
      </c>
      <c r="H43" s="81">
        <f t="shared" si="1"/>
        <v>45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</row>
    <row r="44" spans="1:29" ht="15.75" customHeight="1">
      <c r="A44" s="184"/>
      <c r="B44" s="160" t="s">
        <v>34</v>
      </c>
      <c r="C44" s="11">
        <v>1</v>
      </c>
      <c r="D44" s="9"/>
      <c r="E44" s="9"/>
      <c r="F44" s="9"/>
      <c r="G44" s="5">
        <v>4.5</v>
      </c>
      <c r="H44" s="643">
        <f>G44*30</f>
        <v>135</v>
      </c>
      <c r="I44" s="4">
        <f>SUMPRODUCT(N44:V44,$N$7:$V$7)</f>
        <v>75</v>
      </c>
      <c r="J44" s="10">
        <v>45</v>
      </c>
      <c r="K44" s="11"/>
      <c r="L44" s="10">
        <v>30</v>
      </c>
      <c r="M44" s="32">
        <f>H44-I44</f>
        <v>60</v>
      </c>
      <c r="N44" s="35">
        <v>5</v>
      </c>
      <c r="O44" s="12"/>
      <c r="P44" s="36"/>
      <c r="Q44" s="68"/>
      <c r="R44" s="12"/>
      <c r="S44" s="36"/>
      <c r="T44" s="68"/>
      <c r="U44" s="12"/>
      <c r="V44" s="36"/>
      <c r="W44" s="35"/>
      <c r="X44" s="82" t="e">
        <f>$G44/#REF!</f>
        <v>#REF!</v>
      </c>
      <c r="Y44" s="12"/>
      <c r="Z44" s="45"/>
      <c r="AA44" s="35"/>
      <c r="AB44" s="12"/>
      <c r="AC44" s="36"/>
    </row>
    <row r="45" spans="1:29" ht="15.75" customHeight="1">
      <c r="A45" s="184"/>
      <c r="B45" s="160" t="s">
        <v>34</v>
      </c>
      <c r="C45" s="11"/>
      <c r="D45" s="9"/>
      <c r="E45" s="9"/>
      <c r="F45" s="9"/>
      <c r="G45" s="5">
        <v>2.5</v>
      </c>
      <c r="H45" s="643">
        <f>G45*30</f>
        <v>75</v>
      </c>
      <c r="I45" s="4">
        <f>SUMPRODUCT(N45:V45,$N$7:$V$7)</f>
        <v>27</v>
      </c>
      <c r="J45" s="10">
        <v>18</v>
      </c>
      <c r="K45" s="11"/>
      <c r="L45" s="10">
        <v>9</v>
      </c>
      <c r="M45" s="32">
        <f>H45-I45</f>
        <v>48</v>
      </c>
      <c r="N45" s="35"/>
      <c r="O45" s="12">
        <v>3</v>
      </c>
      <c r="P45" s="36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</row>
    <row r="46" spans="1:29" ht="15.75" customHeight="1">
      <c r="A46" s="184"/>
      <c r="B46" s="160" t="s">
        <v>34</v>
      </c>
      <c r="C46" s="11" t="s">
        <v>259</v>
      </c>
      <c r="D46" s="11"/>
      <c r="E46" s="11"/>
      <c r="F46" s="9"/>
      <c r="G46" s="5">
        <v>2.5</v>
      </c>
      <c r="H46" s="643">
        <f>G46*30</f>
        <v>75</v>
      </c>
      <c r="I46" s="4">
        <f>SUMPRODUCT(N46:V46,$N$7:$V$7)</f>
        <v>27</v>
      </c>
      <c r="J46" s="10">
        <v>18</v>
      </c>
      <c r="K46" s="11"/>
      <c r="L46" s="10">
        <v>9</v>
      </c>
      <c r="M46" s="644">
        <f>H46-I46</f>
        <v>48</v>
      </c>
      <c r="N46" s="35"/>
      <c r="O46" s="12"/>
      <c r="P46" s="36">
        <v>3</v>
      </c>
      <c r="Q46" s="69"/>
      <c r="R46" s="16"/>
      <c r="S46" s="38"/>
      <c r="T46" s="69"/>
      <c r="U46" s="16"/>
      <c r="V46" s="38"/>
      <c r="W46" s="37"/>
      <c r="X46" s="69"/>
      <c r="Y46" s="16"/>
      <c r="Z46" s="46"/>
      <c r="AA46" s="37"/>
      <c r="AB46" s="16"/>
      <c r="AC46" s="38"/>
    </row>
    <row r="47" spans="1:29" ht="15.75" customHeight="1" hidden="1">
      <c r="A47" s="184"/>
      <c r="B47" s="16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82" t="e">
        <f>$G47/#REF!</f>
        <v>#REF!</v>
      </c>
      <c r="AA47" s="35"/>
      <c r="AB47" s="12"/>
      <c r="AC47" s="36"/>
    </row>
    <row r="48" spans="1:29" ht="15.75" customHeight="1" hidden="1">
      <c r="A48" s="184"/>
      <c r="B48" s="160"/>
      <c r="C48" s="11"/>
      <c r="D48" s="9"/>
      <c r="E48" s="9"/>
      <c r="F48" s="9"/>
      <c r="G48" s="5"/>
      <c r="H48" s="81"/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68"/>
      <c r="U48" s="12"/>
      <c r="V48" s="36"/>
      <c r="W48" s="35"/>
      <c r="X48" s="68"/>
      <c r="Y48" s="12"/>
      <c r="Z48" s="224"/>
      <c r="AA48" s="35"/>
      <c r="AB48" s="12"/>
      <c r="AC48" s="36"/>
    </row>
    <row r="49" spans="1:29" ht="15.75" customHeight="1" hidden="1">
      <c r="A49" s="184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224"/>
      <c r="AA49" s="35"/>
      <c r="AB49" s="12"/>
      <c r="AC49" s="36"/>
    </row>
    <row r="50" spans="1:29" ht="16.5" customHeight="1">
      <c r="A50" s="184" t="s">
        <v>281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1"/>
        <v>90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</row>
    <row r="51" spans="1:29" ht="15.75" customHeight="1">
      <c r="A51" s="184"/>
      <c r="B51" s="160" t="s">
        <v>294</v>
      </c>
      <c r="C51" s="15"/>
      <c r="D51" s="13"/>
      <c r="E51" s="13"/>
      <c r="F51" s="13"/>
      <c r="G51" s="5">
        <v>0</v>
      </c>
      <c r="H51" s="81">
        <f t="shared" si="1"/>
        <v>0</v>
      </c>
      <c r="I51" s="4"/>
      <c r="J51" s="14"/>
      <c r="K51" s="15"/>
      <c r="L51" s="15"/>
      <c r="M51" s="18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</row>
    <row r="52" spans="1:29" ht="15.75" customHeight="1">
      <c r="A52" s="184"/>
      <c r="B52" s="160" t="s">
        <v>34</v>
      </c>
      <c r="C52" s="11"/>
      <c r="D52" s="11" t="s">
        <v>258</v>
      </c>
      <c r="E52" s="9"/>
      <c r="F52" s="9"/>
      <c r="G52" s="5">
        <v>3</v>
      </c>
      <c r="H52" s="81">
        <f t="shared" si="1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27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</row>
    <row r="53" spans="1:29" ht="16.5" customHeight="1">
      <c r="A53" s="184" t="s">
        <v>282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1"/>
        <v>210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</row>
    <row r="54" spans="1:29" ht="16.5" customHeight="1">
      <c r="A54" s="184"/>
      <c r="B54" s="160" t="s">
        <v>294</v>
      </c>
      <c r="C54" s="11"/>
      <c r="D54" s="11"/>
      <c r="E54" s="11"/>
      <c r="F54" s="9"/>
      <c r="G54" s="5">
        <v>1</v>
      </c>
      <c r="H54" s="81">
        <f t="shared" si="1"/>
        <v>30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</row>
    <row r="55" spans="1:29" ht="15.75" customHeight="1" thickBot="1">
      <c r="A55" s="184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1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27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</row>
    <row r="56" spans="1:29" ht="15.75" customHeight="1" hidden="1">
      <c r="A56" s="184"/>
      <c r="B56" s="70"/>
      <c r="C56" s="11"/>
      <c r="D56" s="9"/>
      <c r="E56" s="9"/>
      <c r="F56" s="9"/>
      <c r="G56" s="5"/>
      <c r="H56" s="81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</row>
    <row r="57" spans="1:29" ht="15.75" customHeight="1" hidden="1">
      <c r="A57" s="28"/>
      <c r="B57" s="160"/>
      <c r="C57" s="11"/>
      <c r="D57" s="9"/>
      <c r="E57" s="9"/>
      <c r="F57" s="9"/>
      <c r="G57" s="5"/>
      <c r="H57" s="81"/>
      <c r="I57" s="4"/>
      <c r="J57" s="10"/>
      <c r="K57" s="11"/>
      <c r="L57" s="11"/>
      <c r="M57" s="27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</row>
    <row r="58" spans="1:29" ht="15.75" customHeight="1" hidden="1" thickBot="1">
      <c r="A58" s="184"/>
      <c r="B58" s="160"/>
      <c r="C58" s="11"/>
      <c r="D58" s="11"/>
      <c r="E58" s="11"/>
      <c r="F58" s="9"/>
      <c r="G58" s="5"/>
      <c r="H58" s="81"/>
      <c r="I58" s="4"/>
      <c r="J58" s="10"/>
      <c r="K58" s="11"/>
      <c r="L58" s="11"/>
      <c r="M58" s="27"/>
      <c r="N58" s="277"/>
      <c r="O58" s="278"/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</row>
    <row r="59" spans="1:30" ht="16.5" customHeight="1" thickBot="1">
      <c r="A59" s="838" t="s">
        <v>4</v>
      </c>
      <c r="B59" s="839"/>
      <c r="C59" s="8"/>
      <c r="D59" s="8"/>
      <c r="E59" s="8"/>
      <c r="F59" s="8"/>
      <c r="G59" s="234">
        <f>SUM(G11,G14,G15,G18,G19,G22:G25,G28,G29,G32,G36,G39,G42,G50,G53,G56)</f>
        <v>63.5</v>
      </c>
      <c r="H59" s="61">
        <f>SUM(H11,H14,H15,H18,H19,H22:H25,H28,H29,H32,H36,H39,H42,H45,H50,H53,H56)</f>
        <v>1980</v>
      </c>
      <c r="I59" s="61"/>
      <c r="J59" s="61"/>
      <c r="K59" s="61"/>
      <c r="L59" s="61"/>
      <c r="M59" s="61"/>
      <c r="N59" s="33"/>
      <c r="O59" s="8"/>
      <c r="P59" s="30"/>
      <c r="Q59" s="33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1905</v>
      </c>
    </row>
    <row r="60" spans="1:31" ht="15.75" customHeight="1" thickBot="1">
      <c r="A60" s="838" t="s">
        <v>295</v>
      </c>
      <c r="B60" s="839"/>
      <c r="C60" s="8"/>
      <c r="D60" s="8"/>
      <c r="E60" s="8"/>
      <c r="F60" s="8"/>
      <c r="G60" s="234">
        <f>SUM(G12,G14,G16,G18,G20,G26,G30,G33,G37,G40,G43,G51,G54,G57)</f>
        <v>22</v>
      </c>
      <c r="H60" s="61">
        <f>SUM(H12,H14,H16,H18,H20,H22,H23,H24,H26,H30,H33,H37,H40,H43,H46,H51,H54,H57)</f>
        <v>735</v>
      </c>
      <c r="I60" s="61"/>
      <c r="J60" s="61"/>
      <c r="K60" s="61"/>
      <c r="L60" s="61"/>
      <c r="M60" s="61"/>
      <c r="N60" s="33"/>
      <c r="O60" s="8"/>
      <c r="P60" s="30"/>
      <c r="Q60" s="33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660</v>
      </c>
      <c r="AE60" s="350" t="e">
        <f>G26+#REF!+G30+G33+G37+G40+G43+G46+#REF!+G54+G57</f>
        <v>#REF!</v>
      </c>
    </row>
    <row r="61" spans="1:32" ht="16.5" customHeight="1" thickBot="1">
      <c r="A61" s="838" t="s">
        <v>72</v>
      </c>
      <c r="B61" s="839"/>
      <c r="C61" s="19"/>
      <c r="D61" s="19"/>
      <c r="E61" s="19"/>
      <c r="F61" s="19"/>
      <c r="G61" s="234">
        <f>SUM(G13,G17,G21,G27,G28,G31,G34:G35,G38,G41,G44:G46,G47,G52,G55,G58)</f>
        <v>41.5</v>
      </c>
      <c r="H61" s="61">
        <f aca="true" t="shared" si="4" ref="H61:M61">SUM(H13,H17,H21,H27,H28,H31,H34,H38,H41,H44,H47,H52,H55,H58)</f>
        <v>1020</v>
      </c>
      <c r="I61" s="61">
        <f t="shared" si="4"/>
        <v>383</v>
      </c>
      <c r="J61" s="61">
        <f t="shared" si="4"/>
        <v>207</v>
      </c>
      <c r="K61" s="61">
        <f t="shared" si="4"/>
        <v>48</v>
      </c>
      <c r="L61" s="61">
        <f t="shared" si="4"/>
        <v>128</v>
      </c>
      <c r="M61" s="61">
        <f t="shared" si="4"/>
        <v>637</v>
      </c>
      <c r="N61" s="39">
        <f aca="true" t="shared" si="5" ref="N61:V61">SUM(N11:N58)</f>
        <v>16</v>
      </c>
      <c r="O61" s="39">
        <f t="shared" si="5"/>
        <v>14</v>
      </c>
      <c r="P61" s="39">
        <f t="shared" si="5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5"/>
        <v>0</v>
      </c>
      <c r="U61" s="39">
        <f t="shared" si="5"/>
        <v>2</v>
      </c>
      <c r="V61" s="39">
        <f t="shared" si="5"/>
        <v>2</v>
      </c>
      <c r="W61" s="90" t="e">
        <f aca="true" t="shared" si="6" ref="W61:AC61">SUM(W25:W58)</f>
        <v>#REF!</v>
      </c>
      <c r="X61" s="91" t="e">
        <f t="shared" si="6"/>
        <v>#REF!</v>
      </c>
      <c r="Y61" s="91" t="e">
        <f t="shared" si="6"/>
        <v>#REF!</v>
      </c>
      <c r="Z61" s="92" t="e">
        <f t="shared" si="6"/>
        <v>#REF!</v>
      </c>
      <c r="AA61" s="39">
        <f t="shared" si="6"/>
        <v>0</v>
      </c>
      <c r="AB61" s="21">
        <f t="shared" si="6"/>
        <v>0</v>
      </c>
      <c r="AC61" s="40">
        <f t="shared" si="6"/>
        <v>0</v>
      </c>
      <c r="AD61" s="2">
        <f>G61*30</f>
        <v>1245</v>
      </c>
      <c r="AE61" s="350">
        <f>G27+G28+G31+G34+G38+G41+G44+G47+G50+G55+G58</f>
        <v>29</v>
      </c>
      <c r="AF61" s="2">
        <f>AE61*30</f>
        <v>870</v>
      </c>
    </row>
    <row r="62" spans="1:28" s="143" customFormat="1" ht="18.75" customHeight="1" thickBot="1">
      <c r="A62" s="840" t="s">
        <v>283</v>
      </c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3"/>
    </row>
    <row r="63" spans="1:46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10">
        <v>1</v>
      </c>
      <c r="AP63" s="510" t="s">
        <v>258</v>
      </c>
      <c r="AQ63" s="510" t="s">
        <v>259</v>
      </c>
      <c r="AR63" s="510">
        <v>3</v>
      </c>
      <c r="AS63" s="510" t="s">
        <v>260</v>
      </c>
      <c r="AT63" s="510" t="s">
        <v>261</v>
      </c>
    </row>
    <row r="64" spans="1:46" ht="15.75" customHeight="1">
      <c r="A64" s="184"/>
      <c r="B64" s="160" t="s">
        <v>294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10"/>
      <c r="AP64" s="510"/>
      <c r="AQ64" s="510"/>
      <c r="AR64" s="510"/>
      <c r="AS64" s="510"/>
      <c r="AT64" s="510"/>
    </row>
    <row r="65" spans="1:46" ht="15.75" customHeight="1">
      <c r="A65" s="184"/>
      <c r="B65" s="160" t="s">
        <v>34</v>
      </c>
      <c r="C65" s="4"/>
      <c r="D65" s="4" t="s">
        <v>259</v>
      </c>
      <c r="E65" s="4"/>
      <c r="F65" s="4"/>
      <c r="G65" s="5">
        <v>2.5</v>
      </c>
      <c r="H65" s="5">
        <f aca="true" t="shared" si="7" ref="H65:H128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10"/>
      <c r="AP65" s="510"/>
      <c r="AQ65" s="510"/>
      <c r="AR65" s="510"/>
      <c r="AS65" s="510"/>
      <c r="AT65" s="510"/>
    </row>
    <row r="66" spans="1:46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f>G67+G68</f>
        <v>3.5</v>
      </c>
      <c r="H66" s="5">
        <f t="shared" si="7"/>
        <v>105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265</v>
      </c>
      <c r="AO66" s="351">
        <f aca="true" t="shared" si="8" ref="AO66:AT66">COUNTIF($C63:$C131,AO63)</f>
        <v>0</v>
      </c>
      <c r="AP66" s="351">
        <f t="shared" si="8"/>
        <v>0</v>
      </c>
      <c r="AQ66" s="351">
        <f t="shared" si="8"/>
        <v>1</v>
      </c>
      <c r="AR66" s="351">
        <f t="shared" si="8"/>
        <v>0</v>
      </c>
      <c r="AS66" s="351">
        <f t="shared" si="8"/>
        <v>0</v>
      </c>
      <c r="AT66" s="351">
        <f t="shared" si="8"/>
        <v>3</v>
      </c>
    </row>
    <row r="67" spans="1:46" ht="15.75" customHeight="1">
      <c r="A67" s="184"/>
      <c r="B67" s="160" t="s">
        <v>294</v>
      </c>
      <c r="C67" s="4"/>
      <c r="D67" s="4"/>
      <c r="E67" s="4"/>
      <c r="F67" s="4"/>
      <c r="G67" s="5">
        <v>0.5</v>
      </c>
      <c r="H67" s="5">
        <f t="shared" si="7"/>
        <v>15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266</v>
      </c>
      <c r="AO67" s="351">
        <f aca="true" t="shared" si="9" ref="AO67:AT67">COUNTIF($D63:$D131,AO63)</f>
        <v>1</v>
      </c>
      <c r="AP67" s="351">
        <f t="shared" si="9"/>
        <v>2</v>
      </c>
      <c r="AQ67" s="351">
        <f t="shared" si="9"/>
        <v>1</v>
      </c>
      <c r="AR67" s="351">
        <f t="shared" si="9"/>
        <v>4</v>
      </c>
      <c r="AS67" s="351">
        <f t="shared" si="9"/>
        <v>3</v>
      </c>
      <c r="AT67" s="351">
        <f t="shared" si="9"/>
        <v>1</v>
      </c>
    </row>
    <row r="68" spans="1:46" ht="15.75" customHeight="1">
      <c r="A68" s="184"/>
      <c r="B68" s="160" t="s">
        <v>34</v>
      </c>
      <c r="C68" s="4"/>
      <c r="D68" s="4" t="s">
        <v>261</v>
      </c>
      <c r="E68" s="4"/>
      <c r="F68" s="4"/>
      <c r="G68" s="5">
        <v>3</v>
      </c>
      <c r="H68" s="5">
        <f t="shared" si="7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267</v>
      </c>
      <c r="AO68" s="351">
        <f aca="true" t="shared" si="10" ref="AO68:AT68">COUNTIF($E63:$E131,AO63)</f>
        <v>0</v>
      </c>
      <c r="AP68" s="351">
        <f t="shared" si="10"/>
        <v>0</v>
      </c>
      <c r="AQ68" s="351">
        <f t="shared" si="10"/>
        <v>0</v>
      </c>
      <c r="AR68" s="351">
        <f t="shared" si="10"/>
        <v>0</v>
      </c>
      <c r="AS68" s="351">
        <f t="shared" si="10"/>
        <v>0</v>
      </c>
      <c r="AT68" s="351">
        <f t="shared" si="10"/>
        <v>0</v>
      </c>
    </row>
    <row r="69" spans="1:46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f>G70+G71</f>
        <v>6</v>
      </c>
      <c r="H69" s="5">
        <f t="shared" si="7"/>
        <v>180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268</v>
      </c>
      <c r="AO69" s="351">
        <f aca="true" t="shared" si="11" ref="AO69:AT69">COUNTIF($F63:$F131,AO63)</f>
        <v>0</v>
      </c>
      <c r="AP69" s="351">
        <f t="shared" si="11"/>
        <v>0</v>
      </c>
      <c r="AQ69" s="351">
        <f t="shared" si="11"/>
        <v>0</v>
      </c>
      <c r="AR69" s="351">
        <f t="shared" si="11"/>
        <v>1</v>
      </c>
      <c r="AS69" s="351">
        <f t="shared" si="11"/>
        <v>0</v>
      </c>
      <c r="AT69" s="351">
        <f t="shared" si="11"/>
        <v>1</v>
      </c>
    </row>
    <row r="70" spans="1:29" ht="15.75" customHeight="1">
      <c r="A70" s="184"/>
      <c r="B70" s="160" t="s">
        <v>294</v>
      </c>
      <c r="C70" s="4"/>
      <c r="D70" s="4"/>
      <c r="E70" s="4"/>
      <c r="F70" s="4"/>
      <c r="G70" s="5">
        <v>3</v>
      </c>
      <c r="H70" s="5">
        <f t="shared" si="7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</row>
    <row r="71" spans="1:31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3</v>
      </c>
      <c r="H71" s="5">
        <f t="shared" si="7"/>
        <v>90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60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3</v>
      </c>
    </row>
    <row r="72" spans="1:29" ht="15.75" customHeight="1">
      <c r="A72" s="184" t="s">
        <v>143</v>
      </c>
      <c r="B72" s="70" t="s">
        <v>296</v>
      </c>
      <c r="C72" s="4"/>
      <c r="D72" s="4"/>
      <c r="E72" s="4"/>
      <c r="F72" s="4"/>
      <c r="G72" s="5">
        <v>3</v>
      </c>
      <c r="H72" s="5">
        <f t="shared" si="7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</row>
    <row r="73" spans="1:29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</row>
    <row r="74" spans="1:29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</row>
    <row r="75" spans="1:29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</row>
    <row r="76" spans="1:29" ht="15.75" customHeight="1">
      <c r="A76" s="184" t="s">
        <v>143</v>
      </c>
      <c r="B76" s="70" t="s">
        <v>270</v>
      </c>
      <c r="C76" s="4"/>
      <c r="D76" s="4" t="s">
        <v>258</v>
      </c>
      <c r="E76" s="4"/>
      <c r="F76" s="4"/>
      <c r="G76" s="5">
        <v>3</v>
      </c>
      <c r="H76" s="5">
        <f t="shared" si="7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</row>
    <row r="77" spans="1:29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7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</row>
    <row r="78" spans="1:29" ht="15.75" customHeight="1">
      <c r="A78" s="31"/>
      <c r="B78" s="160" t="s">
        <v>294</v>
      </c>
      <c r="C78" s="4"/>
      <c r="D78" s="4"/>
      <c r="E78" s="4"/>
      <c r="F78" s="4"/>
      <c r="G78" s="4">
        <v>0.5</v>
      </c>
      <c r="H78" s="5">
        <f t="shared" si="7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</row>
    <row r="79" spans="1:29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7"/>
        <v>105</v>
      </c>
      <c r="I79" s="4">
        <v>45</v>
      </c>
      <c r="J79" s="4">
        <v>15</v>
      </c>
      <c r="K79" s="4">
        <v>30</v>
      </c>
      <c r="L79" s="4"/>
      <c r="M79" s="32">
        <f>H79-I79</f>
        <v>60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</row>
    <row r="80" spans="1:29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7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</row>
    <row r="81" spans="1:29" ht="15.75" customHeight="1">
      <c r="A81" s="183"/>
      <c r="B81" s="160" t="s">
        <v>294</v>
      </c>
      <c r="C81" s="4"/>
      <c r="D81" s="4"/>
      <c r="E81" s="4"/>
      <c r="F81" s="4"/>
      <c r="G81" s="5">
        <v>2.5</v>
      </c>
      <c r="H81" s="5">
        <f t="shared" si="7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</row>
    <row r="82" spans="1:31" ht="15.75" customHeight="1">
      <c r="A82" s="184"/>
      <c r="B82" s="160" t="s">
        <v>34</v>
      </c>
      <c r="C82" s="4"/>
      <c r="D82" s="4" t="s">
        <v>260</v>
      </c>
      <c r="E82" s="4"/>
      <c r="F82" s="4"/>
      <c r="G82" s="5">
        <v>1.5</v>
      </c>
      <c r="H82" s="5">
        <f t="shared" si="7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</row>
    <row r="83" spans="1:31" ht="15.75" customHeight="1">
      <c r="A83" s="184"/>
      <c r="B83" s="160" t="s">
        <v>34</v>
      </c>
      <c r="C83" s="4" t="s">
        <v>261</v>
      </c>
      <c r="D83" s="4"/>
      <c r="E83" s="4"/>
      <c r="F83" s="4"/>
      <c r="G83" s="5">
        <v>1.5</v>
      </c>
      <c r="H83" s="5">
        <f t="shared" si="7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</row>
    <row r="84" spans="1:31" ht="15.75" customHeight="1">
      <c r="A84" s="184"/>
      <c r="B84" s="160" t="s">
        <v>253</v>
      </c>
      <c r="C84" s="4"/>
      <c r="D84" s="4"/>
      <c r="E84" s="4"/>
      <c r="F84" s="4" t="s">
        <v>261</v>
      </c>
      <c r="G84" s="5">
        <v>1.5</v>
      </c>
      <c r="H84" s="5">
        <f t="shared" si="7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</row>
    <row r="85" spans="1:29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7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</row>
    <row r="86" spans="1:29" ht="15.75" customHeight="1">
      <c r="A86" s="174"/>
      <c r="B86" s="160" t="s">
        <v>294</v>
      </c>
      <c r="C86" s="4"/>
      <c r="D86" s="4"/>
      <c r="E86" s="4"/>
      <c r="F86" s="4"/>
      <c r="G86" s="5">
        <v>1</v>
      </c>
      <c r="H86" s="5">
        <f t="shared" si="7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</row>
    <row r="87" spans="1:3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7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</row>
    <row r="88" spans="1:29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5.5</v>
      </c>
      <c r="H88" s="5">
        <f t="shared" si="7"/>
        <v>165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</row>
    <row r="89" spans="1:29" ht="15.75" customHeight="1">
      <c r="A89" s="514"/>
      <c r="B89" s="160" t="s">
        <v>294</v>
      </c>
      <c r="C89" s="4"/>
      <c r="D89" s="4"/>
      <c r="E89" s="4"/>
      <c r="F89" s="4"/>
      <c r="G89" s="5">
        <v>1</v>
      </c>
      <c r="H89" s="5">
        <f t="shared" si="7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</row>
    <row r="90" spans="1:3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3</v>
      </c>
      <c r="H90" s="5">
        <f t="shared" si="7"/>
        <v>90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45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3</v>
      </c>
    </row>
    <row r="91" spans="1:31" ht="15.75" customHeight="1">
      <c r="A91" s="174"/>
      <c r="B91" s="160" t="s">
        <v>253</v>
      </c>
      <c r="C91" s="4"/>
      <c r="D91" s="4"/>
      <c r="E91" s="4"/>
      <c r="F91" s="4" t="s">
        <v>349</v>
      </c>
      <c r="G91" s="5">
        <v>1.5</v>
      </c>
      <c r="H91" s="5">
        <f t="shared" si="7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</row>
    <row r="92" spans="1:29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8.5</v>
      </c>
      <c r="H92" s="5">
        <f t="shared" si="7"/>
        <v>255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</row>
    <row r="93" spans="1:29" ht="15.75" customHeight="1">
      <c r="A93" s="174"/>
      <c r="B93" s="160" t="s">
        <v>294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</row>
    <row r="94" spans="1:31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7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</row>
    <row r="95" spans="1:29" ht="15.75" customHeight="1">
      <c r="A95" s="647"/>
      <c r="B95" s="160" t="s">
        <v>34</v>
      </c>
      <c r="C95" s="4"/>
      <c r="D95" s="4" t="s">
        <v>260</v>
      </c>
      <c r="E95" s="4"/>
      <c r="F95" s="4"/>
      <c r="G95" s="5">
        <v>2</v>
      </c>
      <c r="H95" s="5">
        <f t="shared" si="7"/>
        <v>60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33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</row>
    <row r="96" spans="1:29" ht="15.75" customHeight="1">
      <c r="A96" s="647"/>
      <c r="B96" s="160" t="s">
        <v>34</v>
      </c>
      <c r="C96" s="4" t="s">
        <v>261</v>
      </c>
      <c r="D96" s="4"/>
      <c r="E96" s="4"/>
      <c r="F96" s="4"/>
      <c r="G96" s="5">
        <v>2</v>
      </c>
      <c r="H96" s="5">
        <f t="shared" si="7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</row>
    <row r="97" spans="1:31" ht="15.75" customHeight="1">
      <c r="A97" s="186"/>
      <c r="B97" s="160" t="s">
        <v>253</v>
      </c>
      <c r="C97" s="4"/>
      <c r="D97" s="4"/>
      <c r="E97" s="4"/>
      <c r="F97" s="4">
        <v>5</v>
      </c>
      <c r="G97" s="5">
        <v>1</v>
      </c>
      <c r="H97" s="5">
        <f t="shared" si="7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</row>
    <row r="98" spans="1:29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7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</row>
    <row r="99" spans="1:29" ht="15.75" customHeight="1">
      <c r="A99" s="183"/>
      <c r="B99" s="160" t="s">
        <v>294</v>
      </c>
      <c r="C99" s="4"/>
      <c r="D99" s="4"/>
      <c r="E99" s="4"/>
      <c r="F99" s="4"/>
      <c r="G99" s="5">
        <v>3</v>
      </c>
      <c r="H99" s="5">
        <f t="shared" si="7"/>
        <v>90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</row>
    <row r="100" spans="1:3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3</v>
      </c>
      <c r="H100" s="5">
        <f t="shared" si="7"/>
        <v>90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45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3</v>
      </c>
    </row>
    <row r="101" spans="1:29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7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</row>
    <row r="102" spans="1:29" ht="15.75" customHeight="1">
      <c r="A102" s="184"/>
      <c r="B102" s="160" t="s">
        <v>297</v>
      </c>
      <c r="C102" s="4"/>
      <c r="D102" s="4"/>
      <c r="E102" s="4"/>
      <c r="F102" s="4"/>
      <c r="G102" s="5">
        <v>3</v>
      </c>
      <c r="H102" s="5">
        <f t="shared" si="7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</row>
    <row r="103" spans="1:29" ht="15.75" customHeight="1">
      <c r="A103" s="184"/>
      <c r="B103" s="160" t="s">
        <v>299</v>
      </c>
      <c r="C103" s="4"/>
      <c r="D103" s="4"/>
      <c r="E103" s="4"/>
      <c r="F103" s="4"/>
      <c r="G103" s="5">
        <v>3</v>
      </c>
      <c r="H103" s="5">
        <f t="shared" si="7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</row>
    <row r="104" spans="1:29" ht="15.75" customHeight="1">
      <c r="A104" s="515"/>
      <c r="B104" s="160" t="s">
        <v>294</v>
      </c>
      <c r="C104" s="4"/>
      <c r="D104" s="4"/>
      <c r="E104" s="4"/>
      <c r="F104" s="4"/>
      <c r="G104" s="5">
        <v>1</v>
      </c>
      <c r="H104" s="5">
        <f t="shared" si="7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</row>
    <row r="105" spans="1:31" ht="15.75" customHeight="1">
      <c r="A105" s="184"/>
      <c r="B105" s="160" t="s">
        <v>34</v>
      </c>
      <c r="C105" s="4" t="s">
        <v>261</v>
      </c>
      <c r="D105" s="4"/>
      <c r="E105" s="4"/>
      <c r="F105" s="4"/>
      <c r="G105" s="5">
        <v>2</v>
      </c>
      <c r="H105" s="5">
        <f t="shared" si="7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</row>
    <row r="106" spans="1:29" ht="15.75" customHeight="1">
      <c r="A106" s="184" t="s">
        <v>240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7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</row>
    <row r="107" spans="1:29" ht="15.75" customHeight="1">
      <c r="A107" s="645"/>
      <c r="B107" s="160" t="s">
        <v>294</v>
      </c>
      <c r="C107" s="4"/>
      <c r="D107" s="4"/>
      <c r="E107" s="4"/>
      <c r="F107" s="4"/>
      <c r="G107" s="5">
        <v>0.5</v>
      </c>
      <c r="H107" s="5">
        <f t="shared" si="7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</row>
    <row r="108" spans="1:29" ht="15.75" customHeight="1">
      <c r="A108" s="646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7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64"/>
      <c r="X108" s="64"/>
      <c r="Y108" s="4"/>
      <c r="Z108" s="27"/>
      <c r="AA108" s="31"/>
      <c r="AB108" s="4"/>
      <c r="AC108" s="32"/>
    </row>
    <row r="109" spans="1:29" ht="15.75" customHeight="1">
      <c r="A109" s="646"/>
      <c r="B109" s="160" t="s">
        <v>34</v>
      </c>
      <c r="C109" s="4"/>
      <c r="D109" s="4" t="s">
        <v>258</v>
      </c>
      <c r="E109" s="4"/>
      <c r="F109" s="4"/>
      <c r="G109" s="5">
        <v>2</v>
      </c>
      <c r="H109" s="5">
        <f t="shared" si="7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64"/>
      <c r="X109" s="64"/>
      <c r="Y109" s="4"/>
      <c r="Z109" s="27"/>
      <c r="AA109" s="31"/>
      <c r="AB109" s="4"/>
      <c r="AC109" s="32"/>
    </row>
    <row r="110" spans="1:29" ht="15.75" customHeight="1">
      <c r="A110" s="516"/>
      <c r="B110" s="160" t="s">
        <v>34</v>
      </c>
      <c r="C110" s="4" t="s">
        <v>259</v>
      </c>
      <c r="D110" s="4"/>
      <c r="E110" s="4"/>
      <c r="F110" s="4"/>
      <c r="G110" s="5">
        <v>2</v>
      </c>
      <c r="H110" s="5">
        <f t="shared" si="7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64"/>
      <c r="X110" s="64"/>
      <c r="Y110" s="4"/>
      <c r="Z110" s="27"/>
      <c r="AA110" s="31"/>
      <c r="AB110" s="4"/>
      <c r="AC110" s="32"/>
    </row>
    <row r="111" spans="1:31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7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82" t="e">
        <f>$G111/#REF!</f>
        <v>#REF!</v>
      </c>
      <c r="X111" s="64"/>
      <c r="Y111" s="4"/>
      <c r="Z111" s="27"/>
      <c r="AA111" s="31"/>
      <c r="AB111" s="4"/>
      <c r="AC111" s="32"/>
      <c r="AE111" s="2">
        <f>G111</f>
        <v>1</v>
      </c>
    </row>
    <row r="112" spans="1:29" ht="15.75" customHeight="1">
      <c r="A112" s="184" t="s">
        <v>285</v>
      </c>
      <c r="B112" s="160" t="s">
        <v>342</v>
      </c>
      <c r="C112" s="4"/>
      <c r="D112" s="4"/>
      <c r="E112" s="4"/>
      <c r="F112" s="4"/>
      <c r="G112" s="5">
        <f>SUM(G113:G115)</f>
        <v>6</v>
      </c>
      <c r="H112" s="5">
        <f t="shared" si="7"/>
        <v>180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</row>
    <row r="113" spans="1:29" ht="15.75" customHeight="1">
      <c r="A113" s="184"/>
      <c r="B113" s="160" t="s">
        <v>294</v>
      </c>
      <c r="C113" s="4"/>
      <c r="D113" s="4"/>
      <c r="E113" s="4"/>
      <c r="F113" s="4"/>
      <c r="G113" s="5">
        <v>1</v>
      </c>
      <c r="H113" s="5">
        <f t="shared" si="7"/>
        <v>30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</row>
    <row r="114" spans="1:29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2.5</v>
      </c>
      <c r="H114" s="5">
        <f t="shared" si="7"/>
        <v>75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45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</row>
    <row r="115" spans="1:29" ht="15.75" customHeight="1">
      <c r="A115" s="184"/>
      <c r="B115" s="160" t="s">
        <v>34</v>
      </c>
      <c r="C115" s="4" t="s">
        <v>343</v>
      </c>
      <c r="D115" s="4"/>
      <c r="E115" s="4"/>
      <c r="F115" s="4"/>
      <c r="G115" s="5">
        <v>2.5</v>
      </c>
      <c r="H115" s="5">
        <f t="shared" si="7"/>
        <v>75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39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</row>
    <row r="116" spans="1:29" ht="15.75" customHeight="1">
      <c r="A116" s="184" t="s">
        <v>285</v>
      </c>
      <c r="B116" s="70" t="s">
        <v>390</v>
      </c>
      <c r="C116" s="4"/>
      <c r="D116" s="4"/>
      <c r="E116" s="4"/>
      <c r="F116" s="4"/>
      <c r="G116" s="5">
        <v>6.5</v>
      </c>
      <c r="H116" s="5">
        <f t="shared" si="7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</row>
    <row r="117" spans="1:29" ht="15.75" customHeight="1">
      <c r="A117" s="184"/>
      <c r="B117" s="160" t="s">
        <v>294</v>
      </c>
      <c r="C117" s="4"/>
      <c r="D117" s="4"/>
      <c r="E117" s="4"/>
      <c r="F117" s="4"/>
      <c r="G117" s="5">
        <v>2</v>
      </c>
      <c r="H117" s="5">
        <f t="shared" si="7"/>
        <v>60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</row>
    <row r="118" spans="1:29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7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32"/>
    </row>
    <row r="119" spans="1:31" ht="15.75" customHeight="1">
      <c r="A119" s="184"/>
      <c r="B119" s="160" t="s">
        <v>34</v>
      </c>
      <c r="C119" s="4" t="s">
        <v>349</v>
      </c>
      <c r="D119" s="4"/>
      <c r="E119" s="4"/>
      <c r="F119" s="4"/>
      <c r="G119" s="5">
        <v>2.5</v>
      </c>
      <c r="H119" s="5">
        <f t="shared" si="7"/>
        <v>75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30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 t="e">
        <f>$G119/#REF!</f>
        <v>#REF!</v>
      </c>
      <c r="AE119" s="2">
        <f>G119</f>
        <v>2.5</v>
      </c>
    </row>
    <row r="120" spans="1:29" ht="15.75" customHeight="1">
      <c r="A120" s="184" t="s">
        <v>284</v>
      </c>
      <c r="B120" s="70" t="s">
        <v>391</v>
      </c>
      <c r="C120" s="4"/>
      <c r="D120" s="4"/>
      <c r="E120" s="4"/>
      <c r="F120" s="4"/>
      <c r="G120" s="5">
        <v>3</v>
      </c>
      <c r="H120" s="5">
        <f t="shared" si="7"/>
        <v>90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</row>
    <row r="121" spans="1:29" ht="15.75" customHeight="1">
      <c r="A121" s="183"/>
      <c r="B121" s="160" t="s">
        <v>294</v>
      </c>
      <c r="C121" s="4"/>
      <c r="D121" s="4"/>
      <c r="E121" s="4"/>
      <c r="F121" s="4"/>
      <c r="G121" s="5">
        <v>1</v>
      </c>
      <c r="H121" s="5">
        <f t="shared" si="7"/>
        <v>30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</row>
    <row r="122" spans="1:31" ht="15.75" customHeight="1">
      <c r="A122" s="184"/>
      <c r="B122" s="160" t="s">
        <v>34</v>
      </c>
      <c r="C122" s="4"/>
      <c r="D122" s="4" t="s">
        <v>260</v>
      </c>
      <c r="E122" s="4"/>
      <c r="F122" s="4"/>
      <c r="G122" s="5">
        <v>2</v>
      </c>
      <c r="H122" s="5">
        <f t="shared" si="7"/>
        <v>60</v>
      </c>
      <c r="I122" s="4">
        <f>SUMPRODUCT(N122:V122,$N$7:$V$7)</f>
        <v>36</v>
      </c>
      <c r="J122" s="4">
        <v>18</v>
      </c>
      <c r="K122" s="4">
        <v>18</v>
      </c>
      <c r="L122" s="4"/>
      <c r="M122" s="27">
        <f>H122-I122</f>
        <v>24</v>
      </c>
      <c r="N122" s="31"/>
      <c r="O122" s="4"/>
      <c r="P122" s="27"/>
      <c r="Q122" s="31"/>
      <c r="R122" s="4">
        <v>4</v>
      </c>
      <c r="S122" s="32"/>
      <c r="T122" s="31"/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2</v>
      </c>
    </row>
    <row r="123" spans="1:29" ht="15.75" customHeight="1">
      <c r="A123" s="184" t="s">
        <v>286</v>
      </c>
      <c r="B123" s="70" t="s">
        <v>78</v>
      </c>
      <c r="C123" s="4"/>
      <c r="D123" s="4"/>
      <c r="E123" s="4"/>
      <c r="F123" s="4"/>
      <c r="G123" s="5">
        <f>G124+G125</f>
        <v>4</v>
      </c>
      <c r="H123" s="5">
        <f t="shared" si="7"/>
        <v>120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</row>
    <row r="124" spans="1:30" ht="15.75" customHeight="1">
      <c r="A124" s="183"/>
      <c r="B124" s="160" t="s">
        <v>294</v>
      </c>
      <c r="C124" s="4"/>
      <c r="D124" s="4"/>
      <c r="E124" s="4"/>
      <c r="F124" s="4"/>
      <c r="G124" s="5">
        <v>1.5</v>
      </c>
      <c r="H124" s="5">
        <f t="shared" si="7"/>
        <v>45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0</v>
      </c>
    </row>
    <row r="125" spans="1:31" ht="15.75" customHeight="1">
      <c r="A125" s="184"/>
      <c r="B125" s="160" t="s">
        <v>34</v>
      </c>
      <c r="C125" s="4">
        <v>5</v>
      </c>
      <c r="D125" s="4"/>
      <c r="E125" s="4"/>
      <c r="F125" s="4"/>
      <c r="G125" s="5">
        <v>2.5</v>
      </c>
      <c r="H125" s="5">
        <f t="shared" si="7"/>
        <v>75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30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0</v>
      </c>
      <c r="AE125" s="2">
        <f>G125</f>
        <v>2.5</v>
      </c>
    </row>
    <row r="126" spans="1:29" ht="15.75" customHeight="1">
      <c r="A126" s="184" t="s">
        <v>392</v>
      </c>
      <c r="B126" s="6" t="s">
        <v>393</v>
      </c>
      <c r="C126" s="4"/>
      <c r="D126" s="4"/>
      <c r="E126" s="4"/>
      <c r="F126" s="4"/>
      <c r="G126" s="5">
        <v>6</v>
      </c>
      <c r="H126" s="5">
        <f t="shared" si="7"/>
        <v>180</v>
      </c>
      <c r="I126" s="26"/>
      <c r="J126" s="26"/>
      <c r="K126" s="26"/>
      <c r="L126" s="26"/>
      <c r="M126" s="41"/>
      <c r="N126" s="31"/>
      <c r="O126" s="4"/>
      <c r="P126" s="27"/>
      <c r="Q126" s="31"/>
      <c r="R126" s="4"/>
      <c r="S126" s="32"/>
      <c r="T126" s="31"/>
      <c r="U126" s="4"/>
      <c r="V126" s="32"/>
      <c r="W126" s="31"/>
      <c r="X126" s="64"/>
      <c r="Y126" s="4"/>
      <c r="Z126" s="27"/>
      <c r="AA126" s="31"/>
      <c r="AB126" s="4"/>
      <c r="AC126" s="32"/>
    </row>
    <row r="127" spans="1:30" ht="15.75" customHeight="1">
      <c r="A127" s="183"/>
      <c r="B127" s="160" t="s">
        <v>294</v>
      </c>
      <c r="C127" s="4"/>
      <c r="D127" s="4"/>
      <c r="E127" s="4"/>
      <c r="F127" s="4"/>
      <c r="G127" s="5">
        <v>2</v>
      </c>
      <c r="H127" s="5">
        <f t="shared" si="7"/>
        <v>60</v>
      </c>
      <c r="I127" s="4"/>
      <c r="J127" s="4"/>
      <c r="K127" s="4"/>
      <c r="L127" s="4"/>
      <c r="M127" s="27"/>
      <c r="N127" s="31"/>
      <c r="O127" s="4"/>
      <c r="P127" s="27"/>
      <c r="Q127" s="31"/>
      <c r="R127" s="4"/>
      <c r="S127" s="32"/>
      <c r="T127" s="31"/>
      <c r="U127" s="4"/>
      <c r="V127" s="32"/>
      <c r="W127" s="31"/>
      <c r="X127" s="64"/>
      <c r="Y127" s="4"/>
      <c r="Z127" s="27"/>
      <c r="AA127" s="31"/>
      <c r="AB127" s="4"/>
      <c r="AC127" s="32"/>
      <c r="AD127" s="2">
        <f>30*G135</f>
        <v>0</v>
      </c>
    </row>
    <row r="128" spans="1:31" ht="15.75" customHeight="1" thickBot="1">
      <c r="A128" s="184"/>
      <c r="B128" s="160" t="s">
        <v>34</v>
      </c>
      <c r="C128" s="4">
        <v>5</v>
      </c>
      <c r="D128" s="4"/>
      <c r="E128" s="4"/>
      <c r="F128" s="4"/>
      <c r="G128" s="5">
        <v>4</v>
      </c>
      <c r="H128" s="5">
        <f t="shared" si="7"/>
        <v>120</v>
      </c>
      <c r="I128" s="4">
        <f>SUMPRODUCT(N128:V128,$N$7:$V$7)</f>
        <v>60</v>
      </c>
      <c r="J128" s="4">
        <v>30</v>
      </c>
      <c r="K128" s="4">
        <v>30</v>
      </c>
      <c r="L128" s="4"/>
      <c r="M128" s="27">
        <f>H128-I128</f>
        <v>60</v>
      </c>
      <c r="N128" s="31"/>
      <c r="O128" s="4"/>
      <c r="P128" s="27"/>
      <c r="Q128" s="31"/>
      <c r="R128" s="4"/>
      <c r="S128" s="32"/>
      <c r="T128" s="31">
        <v>4</v>
      </c>
      <c r="U128" s="4"/>
      <c r="V128" s="32"/>
      <c r="W128" s="31"/>
      <c r="X128" s="64"/>
      <c r="Y128" s="4"/>
      <c r="Z128" s="27"/>
      <c r="AA128" s="31" t="e">
        <f>$G128/#REF!</f>
        <v>#REF!</v>
      </c>
      <c r="AB128" s="4"/>
      <c r="AC128" s="32"/>
      <c r="AD128" s="2">
        <f>30*G136</f>
        <v>0</v>
      </c>
      <c r="AE128" s="2">
        <f>G128</f>
        <v>4</v>
      </c>
    </row>
    <row r="129" spans="1:29" ht="15.75" customHeight="1" hidden="1">
      <c r="A129" s="184"/>
      <c r="B129" s="160"/>
      <c r="C129" s="4"/>
      <c r="D129" s="4"/>
      <c r="E129" s="4"/>
      <c r="F129" s="4"/>
      <c r="G129" s="5"/>
      <c r="H129" s="5"/>
      <c r="I129" s="26"/>
      <c r="J129" s="26"/>
      <c r="K129" s="26"/>
      <c r="L129" s="26"/>
      <c r="M129" s="41"/>
      <c r="N129" s="31"/>
      <c r="O129" s="4"/>
      <c r="P129" s="27"/>
      <c r="Q129" s="31"/>
      <c r="R129" s="4"/>
      <c r="S129" s="32"/>
      <c r="T129" s="31"/>
      <c r="U129" s="4"/>
      <c r="V129" s="32"/>
      <c r="W129" s="31"/>
      <c r="X129" s="64"/>
      <c r="Y129" s="4"/>
      <c r="Z129" s="27"/>
      <c r="AA129" s="31"/>
      <c r="AB129" s="4"/>
      <c r="AC129" s="32"/>
    </row>
    <row r="130" spans="1:30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31"/>
      <c r="X130" s="64"/>
      <c r="Y130" s="4"/>
      <c r="Z130" s="27"/>
      <c r="AA130" s="31"/>
      <c r="AB130" s="4"/>
      <c r="AC130" s="32"/>
      <c r="AD130" s="2">
        <f>30*G138</f>
        <v>2820</v>
      </c>
    </row>
    <row r="131" spans="1:31" ht="15.75" customHeight="1" hidden="1">
      <c r="A131" s="184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31"/>
      <c r="X131" s="64"/>
      <c r="Y131" s="4"/>
      <c r="Z131" s="27"/>
      <c r="AA131" s="31" t="e">
        <f>$G131/#REF!</f>
        <v>#REF!</v>
      </c>
      <c r="AB131" s="4"/>
      <c r="AC131" s="32"/>
      <c r="AD131" s="2">
        <f>30*G139</f>
        <v>855</v>
      </c>
      <c r="AE131" s="2">
        <f>G131</f>
        <v>0</v>
      </c>
    </row>
    <row r="132" spans="1:29" ht="15.75" customHeight="1" hidden="1">
      <c r="A132" s="183"/>
      <c r="B132" s="6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32"/>
      <c r="N132" s="31"/>
      <c r="O132" s="4"/>
      <c r="P132" s="32"/>
      <c r="Q132" s="31"/>
      <c r="R132" s="4"/>
      <c r="S132" s="32"/>
      <c r="T132" s="31"/>
      <c r="U132" s="4"/>
      <c r="V132" s="32"/>
      <c r="W132" s="56"/>
      <c r="X132" s="63"/>
      <c r="Y132" s="49"/>
      <c r="Z132" s="57"/>
      <c r="AA132" s="56"/>
      <c r="AB132" s="49"/>
      <c r="AC132" s="356"/>
    </row>
    <row r="133" spans="1:29" ht="15.75" customHeight="1" hidden="1">
      <c r="A133" s="183"/>
      <c r="B133" s="160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32"/>
      <c r="N133" s="31"/>
      <c r="O133" s="4"/>
      <c r="P133" s="32"/>
      <c r="Q133" s="31"/>
      <c r="R133" s="4"/>
      <c r="S133" s="32"/>
      <c r="T133" s="31"/>
      <c r="U133" s="4"/>
      <c r="V133" s="32"/>
      <c r="W133" s="56"/>
      <c r="X133" s="63"/>
      <c r="Y133" s="49"/>
      <c r="Z133" s="57"/>
      <c r="AA133" s="56"/>
      <c r="AB133" s="49"/>
      <c r="AC133" s="356"/>
    </row>
    <row r="134" spans="1:29" ht="15.75" customHeight="1" hidden="1">
      <c r="A134" s="183"/>
      <c r="B134" s="160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32"/>
      <c r="N134" s="31"/>
      <c r="O134" s="4"/>
      <c r="P134" s="32"/>
      <c r="Q134" s="31"/>
      <c r="R134" s="4"/>
      <c r="S134" s="32"/>
      <c r="T134" s="31"/>
      <c r="U134" s="4"/>
      <c r="V134" s="32"/>
      <c r="W134" s="56"/>
      <c r="X134" s="63"/>
      <c r="Y134" s="49"/>
      <c r="Z134" s="57"/>
      <c r="AA134" s="56"/>
      <c r="AB134" s="49"/>
      <c r="AC134" s="356"/>
    </row>
    <row r="135" spans="1:29" ht="15.75" customHeight="1" hidden="1">
      <c r="A135" s="183"/>
      <c r="B135" s="160"/>
      <c r="C135" s="4"/>
      <c r="D135" s="4"/>
      <c r="E135" s="4"/>
      <c r="F135" s="4"/>
      <c r="G135" s="5"/>
      <c r="H135" s="5"/>
      <c r="I135" s="4"/>
      <c r="J135" s="4"/>
      <c r="K135" s="4"/>
      <c r="L135" s="4"/>
      <c r="M135" s="27"/>
      <c r="N135" s="31"/>
      <c r="O135" s="4"/>
      <c r="P135" s="27"/>
      <c r="Q135" s="31"/>
      <c r="R135" s="4"/>
      <c r="S135" s="32"/>
      <c r="T135" s="31"/>
      <c r="U135" s="4"/>
      <c r="V135" s="32"/>
      <c r="W135" s="56"/>
      <c r="X135" s="63"/>
      <c r="Y135" s="49"/>
      <c r="Z135" s="57"/>
      <c r="AA135" s="56"/>
      <c r="AB135" s="49"/>
      <c r="AC135" s="356"/>
    </row>
    <row r="136" spans="1:29" ht="15.75" customHeight="1" hidden="1">
      <c r="A136" s="183"/>
      <c r="B136" s="160"/>
      <c r="C136" s="4"/>
      <c r="D136" s="4"/>
      <c r="E136" s="4"/>
      <c r="F136" s="4"/>
      <c r="G136" s="5"/>
      <c r="H136" s="5"/>
      <c r="I136" s="4"/>
      <c r="J136" s="4"/>
      <c r="K136" s="4"/>
      <c r="L136" s="4"/>
      <c r="M136" s="27"/>
      <c r="N136" s="31"/>
      <c r="O136" s="4"/>
      <c r="P136" s="27"/>
      <c r="Q136" s="31"/>
      <c r="R136" s="4"/>
      <c r="S136" s="32"/>
      <c r="T136" s="31"/>
      <c r="U136" s="4"/>
      <c r="V136" s="32"/>
      <c r="W136" s="56"/>
      <c r="X136" s="63"/>
      <c r="Y136" s="49"/>
      <c r="Z136" s="57"/>
      <c r="AA136" s="56"/>
      <c r="AB136" s="49"/>
      <c r="AC136" s="356"/>
    </row>
    <row r="137" spans="1:29" ht="16.5" customHeight="1" hidden="1" thickBot="1">
      <c r="A137" s="183"/>
      <c r="B137" s="160"/>
      <c r="C137" s="4"/>
      <c r="D137" s="4"/>
      <c r="E137" s="4"/>
      <c r="F137" s="4"/>
      <c r="G137" s="5"/>
      <c r="H137" s="5"/>
      <c r="I137" s="4"/>
      <c r="J137" s="4"/>
      <c r="K137" s="4"/>
      <c r="L137" s="4"/>
      <c r="M137" s="27"/>
      <c r="N137" s="31"/>
      <c r="O137" s="4"/>
      <c r="P137" s="27"/>
      <c r="Q137" s="31"/>
      <c r="R137" s="4"/>
      <c r="S137" s="32"/>
      <c r="T137" s="31"/>
      <c r="U137" s="4"/>
      <c r="V137" s="32"/>
      <c r="W137" s="56"/>
      <c r="X137" s="63"/>
      <c r="Y137" s="49"/>
      <c r="Z137" s="57"/>
      <c r="AA137" s="56"/>
      <c r="AB137" s="49"/>
      <c r="AC137" s="356"/>
    </row>
    <row r="138" spans="1:30" ht="17.25" customHeight="1" thickBot="1">
      <c r="A138" s="838" t="s">
        <v>4</v>
      </c>
      <c r="B138" s="839"/>
      <c r="C138" s="8"/>
      <c r="D138" s="8"/>
      <c r="E138" s="8"/>
      <c r="F138" s="8"/>
      <c r="G138" s="8">
        <f>SUM(G63,G66,G69,G72:G74,G76:G77,G80,G85,G88,G92,G98,G101,G106,G112,G116,G120,G123,G126,G129,G132,G135)</f>
        <v>94</v>
      </c>
      <c r="H138" s="8">
        <f>SUM(H63,H66,H69,H72:H73,H76:H77,H80,H85,H88,H92,H98,H101,H106,H112,H116,H120,H129,H132,H135)</f>
        <v>2520</v>
      </c>
      <c r="I138" s="8"/>
      <c r="J138" s="8"/>
      <c r="K138" s="8"/>
      <c r="L138" s="8"/>
      <c r="M138" s="8"/>
      <c r="N138" s="33"/>
      <c r="O138" s="8"/>
      <c r="P138" s="30"/>
      <c r="Q138" s="33"/>
      <c r="R138" s="8"/>
      <c r="S138" s="34"/>
      <c r="T138" s="33"/>
      <c r="U138" s="8"/>
      <c r="V138" s="34"/>
      <c r="W138" s="33"/>
      <c r="X138" s="67"/>
      <c r="Y138" s="8"/>
      <c r="Z138" s="30"/>
      <c r="AA138" s="33"/>
      <c r="AB138" s="8"/>
      <c r="AC138" s="34"/>
      <c r="AD138" s="2">
        <f>30*G140</f>
        <v>1965</v>
      </c>
    </row>
    <row r="139" spans="1:31" ht="15" customHeight="1" thickBot="1">
      <c r="A139" s="838" t="s">
        <v>295</v>
      </c>
      <c r="B139" s="839"/>
      <c r="C139" s="8"/>
      <c r="D139" s="8"/>
      <c r="E139" s="8"/>
      <c r="F139" s="8"/>
      <c r="G139" s="8">
        <f>SUM(G64,G67,G70,G72,G74,G78,G81,G86,G89,G93,G99,G102,G104,G107,G113,G117,G121,G124,G127,G130,G133,G136)</f>
        <v>28.5</v>
      </c>
      <c r="H139" s="8">
        <f>SUM(H64,H67,H70,H72,H74,H78,H81,H86,H89,H93,H99,H102,H104,H107,H113,H117,H121,H130,H133,H136)</f>
        <v>750</v>
      </c>
      <c r="I139" s="8"/>
      <c r="J139" s="8"/>
      <c r="K139" s="8"/>
      <c r="L139" s="8"/>
      <c r="M139" s="8"/>
      <c r="N139" s="33"/>
      <c r="O139" s="8"/>
      <c r="P139" s="30"/>
      <c r="Q139" s="33"/>
      <c r="R139" s="8"/>
      <c r="S139" s="34"/>
      <c r="T139" s="33"/>
      <c r="U139" s="8"/>
      <c r="V139" s="34"/>
      <c r="W139" s="33"/>
      <c r="X139" s="67"/>
      <c r="Y139" s="8"/>
      <c r="Z139" s="30"/>
      <c r="AA139" s="33"/>
      <c r="AB139" s="8"/>
      <c r="AC139" s="34"/>
      <c r="AD139" s="2" t="s">
        <v>107</v>
      </c>
      <c r="AE139" s="2">
        <f>SUMIF(C63:C131,"1",AE63:AE131)+SUMIF(C63:C131,"2а",AE63:AE131)+SUMIF(C63:C131,"2б",AE63:AE131)+SUMIF(D63:D131,"1",AE63:AE131)+SUMIF(D63:D131,"2а",AE63:AE131)+SUMIF(D63:D131,"2б",AE63:AE131)+SUMIF(F63:F131,"1",AE63:AE131)+SUMIF(F63:F131,"2а",AE63:AE131)+SUMIF(F63:F131,"2б",AE63:AE131)</f>
        <v>0</v>
      </c>
    </row>
    <row r="140" spans="1:38" ht="15" customHeight="1" thickBot="1">
      <c r="A140" s="838" t="s">
        <v>72</v>
      </c>
      <c r="B140" s="839"/>
      <c r="C140" s="8"/>
      <c r="D140" s="8"/>
      <c r="E140" s="8"/>
      <c r="F140" s="8"/>
      <c r="G140" s="8">
        <f>SUM(G65,G68,G71,G75,G76,G79,G82:G84,G87,G90:G91,G94:G97,G100,G105,G108:G111,G114:G115,G118:G119,G122,G125,G128,G131,G134,G137)</f>
        <v>65.5</v>
      </c>
      <c r="H140" s="8">
        <f>SUM(H65,H68,H71,H75,H76,H79,H82:H84,H87,H90:H91,H94:H97,H100,H105,H111,H115,H119,H122,H131,H134,H137)</f>
        <v>1410</v>
      </c>
      <c r="I140" s="8">
        <f>SUM(I63,I68,I71,I82:I84,I87,I90:I91,I94:I97,I100,I105,I111:I112,I119,I122,I131,I137)</f>
        <v>543</v>
      </c>
      <c r="J140" s="8">
        <f>SUM(J63,J68,J71,J82:J84,J87,J90:J91,J94:J97,J100,J105,J111:J112,J119,J122,J131,J137)</f>
        <v>275</v>
      </c>
      <c r="K140" s="8">
        <f>SUM(K63,K68,K71,K82:K84,K87,K90:K91,K94:K97,K100,K105,K111:K112,K119,K122,K131,K137)</f>
        <v>202</v>
      </c>
      <c r="L140" s="8">
        <f>SUM(L63,L68,L71,L82:L84,L87,L90:L91,L94:L97,L100,L105,L111:L112,L119,L122,L131,L137)</f>
        <v>66</v>
      </c>
      <c r="M140" s="8">
        <f>SUM(M63,M68,M71,M82:M84,M87,M90:M91,M94:M97,M100,M105,M111:M112,M119,M122,M131,M137)</f>
        <v>522</v>
      </c>
      <c r="N140" s="33">
        <f aca="true" t="shared" si="12" ref="N140:V140">SUM(N63:N137)</f>
        <v>3</v>
      </c>
      <c r="O140" s="33">
        <f t="shared" si="12"/>
        <v>7</v>
      </c>
      <c r="P140" s="33">
        <f t="shared" si="12"/>
        <v>8</v>
      </c>
      <c r="Q140" s="33">
        <f>SUM(Q63:Q137)</f>
        <v>10</v>
      </c>
      <c r="R140" s="33">
        <f>SUM(R63:R137)</f>
        <v>15</v>
      </c>
      <c r="S140" s="33">
        <f>SUM(S63:S137)</f>
        <v>17</v>
      </c>
      <c r="T140" s="33">
        <f t="shared" si="12"/>
        <v>19</v>
      </c>
      <c r="U140" s="33">
        <f t="shared" si="12"/>
        <v>7</v>
      </c>
      <c r="V140" s="33">
        <f t="shared" si="12"/>
        <v>0</v>
      </c>
      <c r="W140" s="83" t="e">
        <f aca="true" t="shared" si="13" ref="W140:AC140">SUM(W63:W131)</f>
        <v>#REF!</v>
      </c>
      <c r="X140" s="83">
        <f t="shared" si="13"/>
        <v>0</v>
      </c>
      <c r="Y140" s="83" t="e">
        <f t="shared" si="13"/>
        <v>#REF!</v>
      </c>
      <c r="Z140" s="83" t="e">
        <f t="shared" si="13"/>
        <v>#REF!</v>
      </c>
      <c r="AA140" s="83" t="e">
        <f t="shared" si="13"/>
        <v>#REF!</v>
      </c>
      <c r="AB140" s="83" t="e">
        <f t="shared" si="13"/>
        <v>#REF!</v>
      </c>
      <c r="AC140" s="94" t="e">
        <f t="shared" si="13"/>
        <v>#REF!</v>
      </c>
      <c r="AD140" s="2" t="s">
        <v>108</v>
      </c>
      <c r="AE140" s="2">
        <f>SUMIF(C63:C131,"3",AE63:AE131)+SUMIF(C63:C131,"4а",AE63:AE131)+SUMIF(C63:C131,"4б",AE63:AE131)+SUMIF(D63:D131,"3",AE63:AE131)+SUMIF(D63:D131,"4а",AE63:AE131)+SUMIF(D63:D131,"4б",AE63:AE131)+SUMIF(F63:F131,"3",AE63:AE131)+SUMIF(F63:F131,"4а",AE63:AE131)+SUMIF(F63:F131,"4б",AE63:AE131)</f>
        <v>17.5</v>
      </c>
      <c r="AG140" s="2">
        <f aca="true" t="shared" si="14" ref="AG140:AL140">SUMIF($AE63:$AE138,"&gt;0",H63:H131)</f>
        <v>1230</v>
      </c>
      <c r="AH140" s="2">
        <f t="shared" si="14"/>
        <v>585</v>
      </c>
      <c r="AI140" s="2">
        <f t="shared" si="14"/>
        <v>299</v>
      </c>
      <c r="AJ140" s="2">
        <f t="shared" si="14"/>
        <v>220</v>
      </c>
      <c r="AK140" s="2">
        <f t="shared" si="14"/>
        <v>66</v>
      </c>
      <c r="AL140" s="2">
        <f t="shared" si="14"/>
        <v>555</v>
      </c>
    </row>
    <row r="141" spans="1:29" s="349" customFormat="1" ht="16.5" customHeight="1" thickBot="1">
      <c r="A141" s="811" t="s">
        <v>287</v>
      </c>
      <c r="B141" s="812"/>
      <c r="C141" s="812"/>
      <c r="D141" s="812"/>
      <c r="E141" s="812"/>
      <c r="F141" s="812"/>
      <c r="G141" s="812"/>
      <c r="H141" s="812"/>
      <c r="I141" s="812"/>
      <c r="J141" s="812"/>
      <c r="K141" s="812"/>
      <c r="L141" s="812"/>
      <c r="M141" s="812"/>
      <c r="N141" s="812"/>
      <c r="O141" s="812"/>
      <c r="P141" s="812"/>
      <c r="Q141" s="812"/>
      <c r="R141" s="812"/>
      <c r="S141" s="812"/>
      <c r="T141" s="812"/>
      <c r="U141" s="812"/>
      <c r="V141" s="812"/>
      <c r="W141" s="813"/>
      <c r="X141" s="813"/>
      <c r="Y141" s="813"/>
      <c r="Z141" s="813"/>
      <c r="AA141" s="813"/>
      <c r="AB141" s="814"/>
      <c r="AC141" s="391"/>
    </row>
    <row r="142" spans="1:29" s="349" customFormat="1" ht="16.5" customHeight="1">
      <c r="A142" s="445"/>
      <c r="B142" s="550"/>
      <c r="C142" s="547"/>
      <c r="D142" s="446"/>
      <c r="E142" s="446"/>
      <c r="F142" s="447"/>
      <c r="G142" s="448"/>
      <c r="H142" s="221">
        <f>G142*30</f>
        <v>0</v>
      </c>
      <c r="I142" s="215"/>
      <c r="J142" s="215"/>
      <c r="K142" s="215"/>
      <c r="L142" s="215"/>
      <c r="M142" s="217"/>
      <c r="N142" s="449"/>
      <c r="O142" s="450"/>
      <c r="P142" s="451"/>
      <c r="Q142" s="452"/>
      <c r="R142" s="450"/>
      <c r="S142" s="453"/>
      <c r="T142" s="452"/>
      <c r="U142" s="450"/>
      <c r="V142" s="453"/>
      <c r="W142" s="444"/>
      <c r="X142" s="397"/>
      <c r="Y142" s="398"/>
      <c r="Z142" s="393"/>
      <c r="AA142" s="394"/>
      <c r="AB142" s="394"/>
      <c r="AC142" s="399" t="s">
        <v>309</v>
      </c>
    </row>
    <row r="143" spans="1:29" s="349" customFormat="1" ht="16.5" customHeight="1">
      <c r="A143" s="454" t="s">
        <v>155</v>
      </c>
      <c r="B143" s="551" t="s">
        <v>315</v>
      </c>
      <c r="C143" s="548"/>
      <c r="D143" s="271"/>
      <c r="E143" s="271"/>
      <c r="F143" s="392"/>
      <c r="G143" s="442">
        <v>9</v>
      </c>
      <c r="H143" s="31">
        <f>G143*30</f>
        <v>270</v>
      </c>
      <c r="I143" s="5"/>
      <c r="J143" s="5"/>
      <c r="K143" s="5"/>
      <c r="L143" s="5"/>
      <c r="M143" s="54"/>
      <c r="N143" s="393"/>
      <c r="O143" s="394"/>
      <c r="P143" s="395"/>
      <c r="Q143" s="396"/>
      <c r="R143" s="394"/>
      <c r="S143" s="455"/>
      <c r="T143" s="396"/>
      <c r="U143" s="394"/>
      <c r="V143" s="455"/>
      <c r="W143" s="393"/>
      <c r="X143" s="394"/>
      <c r="Y143" s="398"/>
      <c r="Z143" s="393"/>
      <c r="AA143" s="394"/>
      <c r="AB143" s="394"/>
      <c r="AC143" s="399"/>
    </row>
    <row r="144" spans="1:29" s="349" customFormat="1" ht="15.75" customHeight="1">
      <c r="A144" s="182" t="s">
        <v>156</v>
      </c>
      <c r="B144" s="552" t="s">
        <v>8</v>
      </c>
      <c r="C144" s="81"/>
      <c r="D144" s="271" t="s">
        <v>263</v>
      </c>
      <c r="E144" s="400"/>
      <c r="F144" s="401"/>
      <c r="G144" s="470">
        <v>6</v>
      </c>
      <c r="H144" s="31">
        <f>G144*30</f>
        <v>180</v>
      </c>
      <c r="I144" s="4">
        <v>45</v>
      </c>
      <c r="J144" s="4"/>
      <c r="K144" s="4"/>
      <c r="L144" s="4">
        <v>45</v>
      </c>
      <c r="M144" s="32">
        <f>H144-I144</f>
        <v>135</v>
      </c>
      <c r="N144" s="402"/>
      <c r="O144" s="403"/>
      <c r="P144" s="404"/>
      <c r="Q144" s="405"/>
      <c r="R144" s="403"/>
      <c r="S144" s="456"/>
      <c r="T144" s="405"/>
      <c r="U144" s="403"/>
      <c r="V144" s="456"/>
      <c r="W144" s="402"/>
      <c r="X144" s="403"/>
      <c r="Y144" s="406"/>
      <c r="Z144" s="407"/>
      <c r="AA144" s="403"/>
      <c r="AB144" s="403"/>
      <c r="AC144" s="190" t="s">
        <v>254</v>
      </c>
    </row>
    <row r="145" spans="1:29" s="349" customFormat="1" ht="16.5" customHeight="1">
      <c r="A145" s="205" t="s">
        <v>157</v>
      </c>
      <c r="B145" s="553" t="s">
        <v>40</v>
      </c>
      <c r="C145" s="549"/>
      <c r="D145" s="408" t="s">
        <v>313</v>
      </c>
      <c r="E145" s="409"/>
      <c r="F145" s="410"/>
      <c r="G145" s="470">
        <v>3.5</v>
      </c>
      <c r="H145" s="31">
        <f>G145*30</f>
        <v>105</v>
      </c>
      <c r="I145" s="4">
        <v>15</v>
      </c>
      <c r="J145" s="4"/>
      <c r="K145" s="4"/>
      <c r="L145" s="4">
        <v>30</v>
      </c>
      <c r="M145" s="32">
        <f>H145-I145</f>
        <v>90</v>
      </c>
      <c r="N145" s="411"/>
      <c r="O145" s="412"/>
      <c r="P145" s="413"/>
      <c r="Q145" s="414"/>
      <c r="R145" s="412"/>
      <c r="S145" s="457"/>
      <c r="T145" s="414"/>
      <c r="U145" s="412"/>
      <c r="V145" s="457"/>
      <c r="W145" s="411"/>
      <c r="X145" s="412"/>
      <c r="Y145" s="415"/>
      <c r="Z145" s="411"/>
      <c r="AA145" s="412"/>
      <c r="AB145" s="412"/>
      <c r="AC145" s="190" t="s">
        <v>255</v>
      </c>
    </row>
    <row r="146" spans="1:29" s="349" customFormat="1" ht="15" customHeight="1" thickBot="1">
      <c r="A146" s="554"/>
      <c r="B146" s="555"/>
      <c r="C146" s="549"/>
      <c r="D146" s="408"/>
      <c r="E146" s="409"/>
      <c r="F146" s="410"/>
      <c r="G146" s="470"/>
      <c r="H146" s="543"/>
      <c r="I146" s="531"/>
      <c r="J146" s="531"/>
      <c r="K146" s="531"/>
      <c r="L146" s="531"/>
      <c r="M146" s="544"/>
      <c r="N146" s="411"/>
      <c r="O146" s="412"/>
      <c r="P146" s="413"/>
      <c r="Q146" s="414"/>
      <c r="R146" s="412"/>
      <c r="S146" s="457"/>
      <c r="T146" s="414"/>
      <c r="U146" s="412"/>
      <c r="V146" s="457"/>
      <c r="W146" s="411"/>
      <c r="X146" s="412"/>
      <c r="Y146" s="415"/>
      <c r="Z146" s="411"/>
      <c r="AA146" s="412"/>
      <c r="AB146" s="412"/>
      <c r="AC146" s="190" t="s">
        <v>107</v>
      </c>
    </row>
    <row r="147" spans="1:29" s="349" customFormat="1" ht="18" customHeight="1" thickBot="1">
      <c r="A147" s="815" t="s">
        <v>310</v>
      </c>
      <c r="B147" s="816"/>
      <c r="C147" s="817"/>
      <c r="D147" s="817"/>
      <c r="E147" s="817"/>
      <c r="F147" s="817"/>
      <c r="G147" s="458">
        <f aca="true" t="shared" si="15" ref="G147:M147">SUM(G142:G145,G146)</f>
        <v>18.5</v>
      </c>
      <c r="H147" s="541">
        <f t="shared" si="15"/>
        <v>555</v>
      </c>
      <c r="I147" s="542">
        <f t="shared" si="15"/>
        <v>60</v>
      </c>
      <c r="J147" s="542">
        <f t="shared" si="15"/>
        <v>0</v>
      </c>
      <c r="K147" s="542">
        <f t="shared" si="15"/>
        <v>0</v>
      </c>
      <c r="L147" s="542">
        <f t="shared" si="15"/>
        <v>75</v>
      </c>
      <c r="M147" s="542">
        <f t="shared" si="15"/>
        <v>225</v>
      </c>
      <c r="N147" s="459">
        <f aca="true" t="shared" si="16" ref="N147:AB147">SUM(N142:N146)</f>
        <v>0</v>
      </c>
      <c r="O147" s="460">
        <f t="shared" si="16"/>
        <v>0</v>
      </c>
      <c r="P147" s="460">
        <f t="shared" si="16"/>
        <v>0</v>
      </c>
      <c r="Q147" s="460">
        <f>SUM(Q142:Q146)</f>
        <v>0</v>
      </c>
      <c r="R147" s="460">
        <f>SUM(R142:R146)</f>
        <v>0</v>
      </c>
      <c r="S147" s="461">
        <f>SUM(S142:S146)</f>
        <v>0</v>
      </c>
      <c r="T147" s="460">
        <f t="shared" si="16"/>
        <v>0</v>
      </c>
      <c r="U147" s="460">
        <f t="shared" si="16"/>
        <v>0</v>
      </c>
      <c r="V147" s="461">
        <f t="shared" si="16"/>
        <v>0</v>
      </c>
      <c r="W147" s="416">
        <f t="shared" si="16"/>
        <v>0</v>
      </c>
      <c r="X147" s="417">
        <f t="shared" si="16"/>
        <v>0</v>
      </c>
      <c r="Y147" s="417">
        <f t="shared" si="16"/>
        <v>0</v>
      </c>
      <c r="Z147" s="417">
        <f t="shared" si="16"/>
        <v>0</v>
      </c>
      <c r="AA147" s="417">
        <f t="shared" si="16"/>
        <v>0</v>
      </c>
      <c r="AB147" s="417">
        <f t="shared" si="16"/>
        <v>0</v>
      </c>
      <c r="AC147" s="190" t="s">
        <v>108</v>
      </c>
    </row>
    <row r="148" spans="1:29" s="349" customFormat="1" ht="18" customHeight="1" thickBot="1">
      <c r="A148" s="820" t="s">
        <v>295</v>
      </c>
      <c r="B148" s="821"/>
      <c r="C148" s="517"/>
      <c r="D148" s="517"/>
      <c r="E148" s="517"/>
      <c r="F148" s="518"/>
      <c r="G148" s="519">
        <f>SUM(G142:G143)</f>
        <v>9</v>
      </c>
      <c r="H148" s="519">
        <f>SUM(H142:H143)</f>
        <v>270</v>
      </c>
      <c r="I148" s="519"/>
      <c r="J148" s="439"/>
      <c r="K148" s="439"/>
      <c r="L148" s="439"/>
      <c r="M148" s="439"/>
      <c r="N148" s="440"/>
      <c r="O148" s="440"/>
      <c r="P148" s="440"/>
      <c r="Q148" s="440"/>
      <c r="R148" s="440"/>
      <c r="S148" s="441"/>
      <c r="T148" s="440"/>
      <c r="U148" s="440"/>
      <c r="V148" s="441"/>
      <c r="W148" s="436"/>
      <c r="X148" s="436"/>
      <c r="Y148" s="436"/>
      <c r="Z148" s="436"/>
      <c r="AA148" s="436"/>
      <c r="AB148" s="416"/>
      <c r="AC148" s="190"/>
    </row>
    <row r="149" spans="1:29" s="349" customFormat="1" ht="18" customHeight="1" thickBot="1">
      <c r="A149" s="822" t="s">
        <v>72</v>
      </c>
      <c r="B149" s="823"/>
      <c r="C149" s="8"/>
      <c r="D149" s="8"/>
      <c r="E149" s="8"/>
      <c r="F149" s="30"/>
      <c r="G149" s="95">
        <f>SUM(G144:G145)</f>
        <v>9.5</v>
      </c>
      <c r="H149" s="95">
        <f>SUM(H144:H145)</f>
        <v>285</v>
      </c>
      <c r="I149" s="95">
        <f>SUM(I144:I145)</f>
        <v>60</v>
      </c>
      <c r="J149" s="149"/>
      <c r="K149" s="149"/>
      <c r="L149" s="149"/>
      <c r="M149" s="149"/>
      <c r="N149" s="437"/>
      <c r="O149" s="437"/>
      <c r="P149" s="437"/>
      <c r="Q149" s="437"/>
      <c r="R149" s="437"/>
      <c r="S149" s="438"/>
      <c r="T149" s="437"/>
      <c r="U149" s="437"/>
      <c r="V149" s="438"/>
      <c r="W149" s="436"/>
      <c r="X149" s="436"/>
      <c r="Y149" s="436"/>
      <c r="Z149" s="436"/>
      <c r="AA149" s="436"/>
      <c r="AB149" s="416"/>
      <c r="AC149" s="190"/>
    </row>
    <row r="150" spans="1:29" s="349" customFormat="1" ht="16.5" customHeight="1" thickBot="1">
      <c r="A150" s="818" t="s">
        <v>311</v>
      </c>
      <c r="B150" s="819"/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3"/>
      <c r="X150" s="813"/>
      <c r="Y150" s="813"/>
      <c r="Z150" s="813"/>
      <c r="AA150" s="813"/>
      <c r="AB150" s="814"/>
      <c r="AC150" s="391"/>
    </row>
    <row r="151" spans="1:29" s="349" customFormat="1" ht="16.5" thickBot="1">
      <c r="A151" s="434" t="s">
        <v>288</v>
      </c>
      <c r="B151" s="419" t="s">
        <v>312</v>
      </c>
      <c r="C151" s="420" t="s">
        <v>313</v>
      </c>
      <c r="D151" s="421"/>
      <c r="E151" s="421"/>
      <c r="F151" s="422"/>
      <c r="G151" s="435">
        <v>6</v>
      </c>
      <c r="H151" s="423">
        <f>G151*30</f>
        <v>180</v>
      </c>
      <c r="I151" s="424">
        <v>45</v>
      </c>
      <c r="J151" s="424"/>
      <c r="K151" s="425"/>
      <c r="L151" s="425">
        <v>45</v>
      </c>
      <c r="M151" s="426"/>
      <c r="N151" s="427"/>
      <c r="O151" s="428"/>
      <c r="P151" s="429"/>
      <c r="Q151" s="430"/>
      <c r="R151" s="428"/>
      <c r="S151" s="431"/>
      <c r="T151" s="430"/>
      <c r="U151" s="428"/>
      <c r="V151" s="431"/>
      <c r="W151" s="430"/>
      <c r="X151" s="428"/>
      <c r="Y151" s="431"/>
      <c r="Z151" s="427"/>
      <c r="AA151" s="428"/>
      <c r="AB151" s="428"/>
      <c r="AC151" s="399"/>
    </row>
    <row r="152" spans="1:29" s="349" customFormat="1" ht="16.5" thickBot="1">
      <c r="A152" s="804" t="s">
        <v>314</v>
      </c>
      <c r="B152" s="805"/>
      <c r="C152" s="805"/>
      <c r="D152" s="805"/>
      <c r="E152" s="805"/>
      <c r="F152" s="806"/>
      <c r="G152" s="432">
        <f>G151</f>
        <v>6</v>
      </c>
      <c r="H152" s="432">
        <f>H151</f>
        <v>180</v>
      </c>
      <c r="I152" s="432">
        <f aca="true" t="shared" si="17" ref="I152:AB152">I151</f>
        <v>45</v>
      </c>
      <c r="J152" s="432">
        <f t="shared" si="17"/>
        <v>0</v>
      </c>
      <c r="K152" s="432">
        <f t="shared" si="17"/>
        <v>0</v>
      </c>
      <c r="L152" s="432">
        <f t="shared" si="17"/>
        <v>45</v>
      </c>
      <c r="M152" s="432">
        <f t="shared" si="17"/>
        <v>0</v>
      </c>
      <c r="N152" s="433">
        <f t="shared" si="17"/>
        <v>0</v>
      </c>
      <c r="O152" s="433">
        <f t="shared" si="17"/>
        <v>0</v>
      </c>
      <c r="P152" s="433">
        <f t="shared" si="17"/>
        <v>0</v>
      </c>
      <c r="Q152" s="433">
        <f>Q151</f>
        <v>0</v>
      </c>
      <c r="R152" s="433">
        <f>R151</f>
        <v>0</v>
      </c>
      <c r="S152" s="433">
        <f>S151</f>
        <v>0</v>
      </c>
      <c r="T152" s="433">
        <f t="shared" si="17"/>
        <v>0</v>
      </c>
      <c r="U152" s="433">
        <f t="shared" si="17"/>
        <v>0</v>
      </c>
      <c r="V152" s="433">
        <f t="shared" si="17"/>
        <v>0</v>
      </c>
      <c r="W152" s="433">
        <f t="shared" si="17"/>
        <v>0</v>
      </c>
      <c r="X152" s="433">
        <f t="shared" si="17"/>
        <v>0</v>
      </c>
      <c r="Y152" s="433">
        <f t="shared" si="17"/>
        <v>0</v>
      </c>
      <c r="Z152" s="433">
        <f t="shared" si="17"/>
        <v>0</v>
      </c>
      <c r="AA152" s="433">
        <f t="shared" si="17"/>
        <v>0</v>
      </c>
      <c r="AB152" s="433">
        <f t="shared" si="17"/>
        <v>0</v>
      </c>
      <c r="AC152" s="418"/>
    </row>
    <row r="153" spans="1:28" s="143" customFormat="1" ht="16.5" customHeight="1" thickBot="1">
      <c r="A153" s="840" t="s">
        <v>289</v>
      </c>
      <c r="B153" s="802"/>
      <c r="C153" s="802"/>
      <c r="D153" s="802"/>
      <c r="E153" s="802"/>
      <c r="F153" s="802"/>
      <c r="G153" s="802"/>
      <c r="H153" s="802"/>
      <c r="I153" s="802"/>
      <c r="J153" s="802"/>
      <c r="K153" s="802"/>
      <c r="L153" s="802"/>
      <c r="M153" s="802"/>
      <c r="N153" s="802"/>
      <c r="O153" s="802"/>
      <c r="P153" s="802"/>
      <c r="Q153" s="802"/>
      <c r="R153" s="802"/>
      <c r="S153" s="802"/>
      <c r="T153" s="802"/>
      <c r="U153" s="802"/>
      <c r="V153" s="802"/>
      <c r="W153" s="802"/>
      <c r="X153" s="802"/>
      <c r="Y153" s="802"/>
      <c r="Z153" s="802"/>
      <c r="AA153" s="802"/>
      <c r="AB153" s="803"/>
    </row>
    <row r="154" spans="1:29" ht="15.75" customHeight="1" thickBot="1">
      <c r="A154" s="881" t="s">
        <v>300</v>
      </c>
      <c r="B154" s="882"/>
      <c r="C154" s="882"/>
      <c r="D154" s="882"/>
      <c r="E154" s="882"/>
      <c r="F154" s="882"/>
      <c r="G154" s="882"/>
      <c r="H154" s="882"/>
      <c r="I154" s="882"/>
      <c r="J154" s="882"/>
      <c r="K154" s="882"/>
      <c r="L154" s="882"/>
      <c r="M154" s="882"/>
      <c r="N154" s="882"/>
      <c r="O154" s="882"/>
      <c r="P154" s="882"/>
      <c r="Q154" s="882"/>
      <c r="R154" s="882"/>
      <c r="S154" s="882"/>
      <c r="T154" s="882"/>
      <c r="U154" s="882"/>
      <c r="V154" s="882"/>
      <c r="W154" s="882"/>
      <c r="X154" s="882"/>
      <c r="Y154" s="882"/>
      <c r="Z154" s="882"/>
      <c r="AA154" s="882"/>
      <c r="AB154" s="883"/>
      <c r="AC154" s="357"/>
    </row>
    <row r="155" spans="1:29" ht="15.75" customHeight="1">
      <c r="A155" s="884" t="s">
        <v>301</v>
      </c>
      <c r="B155" s="371" t="s">
        <v>351</v>
      </c>
      <c r="C155" s="372"/>
      <c r="D155" s="372" t="s">
        <v>259</v>
      </c>
      <c r="E155" s="372"/>
      <c r="F155" s="372"/>
      <c r="G155" s="373">
        <v>3</v>
      </c>
      <c r="H155" s="374">
        <f aca="true" t="shared" si="18" ref="H155:H178">G155*30</f>
        <v>90</v>
      </c>
      <c r="I155" s="375">
        <f aca="true" t="shared" si="19" ref="I155:I178">J155+K155+L155</f>
        <v>36</v>
      </c>
      <c r="J155" s="376">
        <v>18</v>
      </c>
      <c r="K155" s="376"/>
      <c r="L155" s="376">
        <v>18</v>
      </c>
      <c r="M155" s="559">
        <f aca="true" t="shared" si="20" ref="M155:M169">H155-I155</f>
        <v>54</v>
      </c>
      <c r="N155" s="565"/>
      <c r="O155" s="479">
        <v>2</v>
      </c>
      <c r="P155" s="480">
        <v>2</v>
      </c>
      <c r="Q155" s="562"/>
      <c r="R155" s="372"/>
      <c r="S155" s="377"/>
      <c r="T155" s="479"/>
      <c r="U155" s="372"/>
      <c r="V155" s="377"/>
      <c r="W155" s="368"/>
      <c r="X155" s="359"/>
      <c r="Y155" s="359"/>
      <c r="Z155" s="359"/>
      <c r="AA155" s="359"/>
      <c r="AB155" s="361"/>
      <c r="AC155" s="357"/>
    </row>
    <row r="156" spans="1:29" ht="15.75" customHeight="1">
      <c r="A156" s="885"/>
      <c r="B156" s="568" t="s">
        <v>352</v>
      </c>
      <c r="C156" s="359"/>
      <c r="D156" s="359" t="s">
        <v>259</v>
      </c>
      <c r="E156" s="359"/>
      <c r="F156" s="359"/>
      <c r="G156" s="369">
        <v>3</v>
      </c>
      <c r="H156" s="370">
        <f t="shared" si="18"/>
        <v>90</v>
      </c>
      <c r="I156" s="360">
        <f t="shared" si="19"/>
        <v>36</v>
      </c>
      <c r="J156" s="360">
        <v>18</v>
      </c>
      <c r="K156" s="360"/>
      <c r="L156" s="360">
        <v>18</v>
      </c>
      <c r="M156" s="560">
        <f t="shared" si="20"/>
        <v>54</v>
      </c>
      <c r="N156" s="566"/>
      <c r="O156" s="359">
        <v>2</v>
      </c>
      <c r="P156" s="378">
        <v>2</v>
      </c>
      <c r="Q156" s="368"/>
      <c r="R156" s="359"/>
      <c r="S156" s="378"/>
      <c r="T156" s="359"/>
      <c r="U156" s="359"/>
      <c r="V156" s="378"/>
      <c r="W156" s="365"/>
      <c r="X156" s="364"/>
      <c r="Y156" s="363"/>
      <c r="Z156" s="362"/>
      <c r="AA156" s="366"/>
      <c r="AB156" s="367"/>
      <c r="AC156" s="357"/>
    </row>
    <row r="157" spans="1:29" ht="15.75" customHeight="1">
      <c r="A157" s="885"/>
      <c r="B157" s="568" t="s">
        <v>353</v>
      </c>
      <c r="C157" s="359"/>
      <c r="D157" s="359" t="s">
        <v>259</v>
      </c>
      <c r="E157" s="359"/>
      <c r="F157" s="359"/>
      <c r="G157" s="369">
        <v>3</v>
      </c>
      <c r="H157" s="370">
        <f t="shared" si="18"/>
        <v>90</v>
      </c>
      <c r="I157" s="360">
        <f t="shared" si="19"/>
        <v>36</v>
      </c>
      <c r="J157" s="360">
        <v>18</v>
      </c>
      <c r="K157" s="360"/>
      <c r="L157" s="360">
        <v>18</v>
      </c>
      <c r="M157" s="560">
        <f t="shared" si="20"/>
        <v>54</v>
      </c>
      <c r="N157" s="566"/>
      <c r="O157" s="359">
        <v>2</v>
      </c>
      <c r="P157" s="378">
        <v>2</v>
      </c>
      <c r="Q157" s="368"/>
      <c r="R157" s="359"/>
      <c r="S157" s="378"/>
      <c r="T157" s="359"/>
      <c r="U157" s="359"/>
      <c r="V157" s="378"/>
      <c r="W157" s="365"/>
      <c r="X157" s="364"/>
      <c r="Y157" s="363"/>
      <c r="Z157" s="362"/>
      <c r="AA157" s="366"/>
      <c r="AB157" s="367"/>
      <c r="AC157" s="357"/>
    </row>
    <row r="158" spans="1:29" ht="15.75" customHeight="1">
      <c r="A158" s="885"/>
      <c r="B158" s="568" t="s">
        <v>354</v>
      </c>
      <c r="C158" s="359"/>
      <c r="D158" s="359" t="s">
        <v>259</v>
      </c>
      <c r="E158" s="359"/>
      <c r="F158" s="359"/>
      <c r="G158" s="369">
        <v>3</v>
      </c>
      <c r="H158" s="370">
        <f t="shared" si="18"/>
        <v>90</v>
      </c>
      <c r="I158" s="360">
        <f t="shared" si="19"/>
        <v>36</v>
      </c>
      <c r="J158" s="360">
        <v>18</v>
      </c>
      <c r="K158" s="360"/>
      <c r="L158" s="360">
        <v>18</v>
      </c>
      <c r="M158" s="560">
        <f t="shared" si="20"/>
        <v>54</v>
      </c>
      <c r="N158" s="566"/>
      <c r="O158" s="359">
        <v>2</v>
      </c>
      <c r="P158" s="378">
        <v>2</v>
      </c>
      <c r="Q158" s="368"/>
      <c r="R158" s="359"/>
      <c r="S158" s="378"/>
      <c r="T158" s="359"/>
      <c r="U158" s="359"/>
      <c r="V158" s="378"/>
      <c r="W158" s="365"/>
      <c r="X158" s="364"/>
      <c r="Y158" s="363"/>
      <c r="Z158" s="362"/>
      <c r="AA158" s="366"/>
      <c r="AB158" s="367"/>
      <c r="AC158" s="357"/>
    </row>
    <row r="159" spans="1:29" ht="15.75" customHeight="1">
      <c r="A159" s="885"/>
      <c r="B159" s="568" t="s">
        <v>355</v>
      </c>
      <c r="C159" s="359"/>
      <c r="D159" s="359" t="s">
        <v>259</v>
      </c>
      <c r="E159" s="359"/>
      <c r="F159" s="359"/>
      <c r="G159" s="369">
        <v>3</v>
      </c>
      <c r="H159" s="370">
        <f t="shared" si="18"/>
        <v>90</v>
      </c>
      <c r="I159" s="360">
        <f t="shared" si="19"/>
        <v>36</v>
      </c>
      <c r="J159" s="360">
        <v>18</v>
      </c>
      <c r="K159" s="360"/>
      <c r="L159" s="360">
        <v>18</v>
      </c>
      <c r="M159" s="560">
        <f t="shared" si="20"/>
        <v>54</v>
      </c>
      <c r="N159" s="566"/>
      <c r="O159" s="359">
        <v>2</v>
      </c>
      <c r="P159" s="378">
        <v>2</v>
      </c>
      <c r="Q159" s="368"/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</row>
    <row r="160" spans="1:29" ht="15.75" customHeight="1">
      <c r="A160" s="885"/>
      <c r="B160" s="568" t="s">
        <v>356</v>
      </c>
      <c r="C160" s="359"/>
      <c r="D160" s="359" t="s">
        <v>259</v>
      </c>
      <c r="E160" s="359"/>
      <c r="F160" s="359"/>
      <c r="G160" s="369">
        <v>3</v>
      </c>
      <c r="H160" s="370">
        <f t="shared" si="18"/>
        <v>90</v>
      </c>
      <c r="I160" s="360">
        <f t="shared" si="19"/>
        <v>36</v>
      </c>
      <c r="J160" s="360">
        <v>18</v>
      </c>
      <c r="K160" s="360"/>
      <c r="L160" s="360">
        <v>18</v>
      </c>
      <c r="M160" s="560">
        <f t="shared" si="20"/>
        <v>54</v>
      </c>
      <c r="N160" s="566"/>
      <c r="O160" s="359">
        <v>2</v>
      </c>
      <c r="P160" s="378">
        <v>2</v>
      </c>
      <c r="Q160" s="368"/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</row>
    <row r="161" spans="1:29" ht="15.75" customHeight="1">
      <c r="A161" s="890"/>
      <c r="B161" s="568" t="s">
        <v>357</v>
      </c>
      <c r="C161" s="557"/>
      <c r="D161" s="359" t="s">
        <v>259</v>
      </c>
      <c r="E161" s="359"/>
      <c r="F161" s="359"/>
      <c r="G161" s="369">
        <v>3</v>
      </c>
      <c r="H161" s="370">
        <f t="shared" si="18"/>
        <v>90</v>
      </c>
      <c r="I161" s="360">
        <f t="shared" si="19"/>
        <v>36</v>
      </c>
      <c r="J161" s="360">
        <v>18</v>
      </c>
      <c r="K161" s="360"/>
      <c r="L161" s="360">
        <v>18</v>
      </c>
      <c r="M161" s="560">
        <f t="shared" si="20"/>
        <v>54</v>
      </c>
      <c r="N161" s="566"/>
      <c r="O161" s="359">
        <v>2</v>
      </c>
      <c r="P161" s="378">
        <v>2</v>
      </c>
      <c r="Q161" s="563"/>
      <c r="R161" s="557"/>
      <c r="S161" s="558"/>
      <c r="T161" s="557"/>
      <c r="U161" s="557"/>
      <c r="V161" s="558"/>
      <c r="W161" s="365"/>
      <c r="X161" s="364"/>
      <c r="Y161" s="363"/>
      <c r="Z161" s="362"/>
      <c r="AA161" s="366"/>
      <c r="AB161" s="367"/>
      <c r="AC161" s="357"/>
    </row>
    <row r="162" spans="1:29" ht="15.75" customHeight="1">
      <c r="A162" s="890"/>
      <c r="B162" s="568" t="s">
        <v>302</v>
      </c>
      <c r="C162" s="557"/>
      <c r="D162" s="359" t="s">
        <v>259</v>
      </c>
      <c r="E162" s="359"/>
      <c r="F162" s="359"/>
      <c r="G162" s="369">
        <v>3</v>
      </c>
      <c r="H162" s="370">
        <f t="shared" si="18"/>
        <v>90</v>
      </c>
      <c r="I162" s="360">
        <f t="shared" si="19"/>
        <v>36</v>
      </c>
      <c r="J162" s="360">
        <v>18</v>
      </c>
      <c r="K162" s="360"/>
      <c r="L162" s="360">
        <v>18</v>
      </c>
      <c r="M162" s="560">
        <f t="shared" si="20"/>
        <v>54</v>
      </c>
      <c r="N162" s="566"/>
      <c r="O162" s="359">
        <v>2</v>
      </c>
      <c r="P162" s="378">
        <v>2</v>
      </c>
      <c r="Q162" s="563"/>
      <c r="R162" s="557"/>
      <c r="S162" s="558"/>
      <c r="T162" s="557"/>
      <c r="U162" s="557"/>
      <c r="V162" s="558"/>
      <c r="W162" s="365"/>
      <c r="X162" s="364"/>
      <c r="Y162" s="363"/>
      <c r="Z162" s="362"/>
      <c r="AA162" s="366"/>
      <c r="AB162" s="367"/>
      <c r="AC162" s="357"/>
    </row>
    <row r="163" spans="1:29" ht="15.75" customHeight="1" thickBot="1">
      <c r="A163" s="886"/>
      <c r="B163" s="568" t="s">
        <v>303</v>
      </c>
      <c r="C163" s="380"/>
      <c r="D163" s="359" t="s">
        <v>259</v>
      </c>
      <c r="E163" s="359"/>
      <c r="F163" s="359"/>
      <c r="G163" s="369">
        <v>3</v>
      </c>
      <c r="H163" s="370">
        <f t="shared" si="18"/>
        <v>90</v>
      </c>
      <c r="I163" s="360">
        <f t="shared" si="19"/>
        <v>36</v>
      </c>
      <c r="J163" s="360">
        <v>18</v>
      </c>
      <c r="K163" s="360"/>
      <c r="L163" s="360">
        <v>18</v>
      </c>
      <c r="M163" s="560">
        <f t="shared" si="20"/>
        <v>54</v>
      </c>
      <c r="N163" s="566"/>
      <c r="O163" s="359">
        <v>2</v>
      </c>
      <c r="P163" s="378">
        <v>2</v>
      </c>
      <c r="Q163" s="564"/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</row>
    <row r="164" spans="1:29" ht="15.75" customHeight="1">
      <c r="A164" s="884" t="s">
        <v>359</v>
      </c>
      <c r="B164" s="371" t="s">
        <v>304</v>
      </c>
      <c r="C164" s="372"/>
      <c r="D164" s="372">
        <v>3</v>
      </c>
      <c r="E164" s="372"/>
      <c r="F164" s="372"/>
      <c r="G164" s="373">
        <v>3</v>
      </c>
      <c r="H164" s="374">
        <f t="shared" si="18"/>
        <v>90</v>
      </c>
      <c r="I164" s="375">
        <f t="shared" si="19"/>
        <v>30</v>
      </c>
      <c r="J164" s="376">
        <v>15</v>
      </c>
      <c r="K164" s="376"/>
      <c r="L164" s="376">
        <v>15</v>
      </c>
      <c r="M164" s="559">
        <f t="shared" si="20"/>
        <v>60</v>
      </c>
      <c r="N164" s="565"/>
      <c r="O164" s="372"/>
      <c r="P164" s="377"/>
      <c r="Q164" s="479">
        <v>2</v>
      </c>
      <c r="R164" s="372"/>
      <c r="S164" s="377"/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</row>
    <row r="165" spans="1:29" ht="15.75" customHeight="1">
      <c r="A165" s="885"/>
      <c r="B165" s="568" t="s">
        <v>353</v>
      </c>
      <c r="C165" s="359"/>
      <c r="D165" s="359">
        <v>3</v>
      </c>
      <c r="E165" s="359"/>
      <c r="F165" s="359"/>
      <c r="G165" s="369">
        <v>3</v>
      </c>
      <c r="H165" s="370">
        <f t="shared" si="18"/>
        <v>90</v>
      </c>
      <c r="I165" s="360">
        <f t="shared" si="19"/>
        <v>30</v>
      </c>
      <c r="J165" s="360">
        <v>15</v>
      </c>
      <c r="K165" s="360"/>
      <c r="L165" s="360">
        <v>15</v>
      </c>
      <c r="M165" s="560">
        <f t="shared" si="20"/>
        <v>60</v>
      </c>
      <c r="N165" s="566"/>
      <c r="O165" s="359"/>
      <c r="P165" s="378"/>
      <c r="Q165" s="359">
        <v>2</v>
      </c>
      <c r="R165" s="359"/>
      <c r="S165" s="378"/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</row>
    <row r="166" spans="1:29" ht="15.75" customHeight="1">
      <c r="A166" s="885"/>
      <c r="B166" s="568" t="s">
        <v>308</v>
      </c>
      <c r="C166" s="359"/>
      <c r="D166" s="359">
        <v>3</v>
      </c>
      <c r="E166" s="359"/>
      <c r="F166" s="359"/>
      <c r="G166" s="369">
        <v>3</v>
      </c>
      <c r="H166" s="370">
        <f t="shared" si="18"/>
        <v>90</v>
      </c>
      <c r="I166" s="360">
        <f t="shared" si="19"/>
        <v>30</v>
      </c>
      <c r="J166" s="360">
        <v>15</v>
      </c>
      <c r="K166" s="360"/>
      <c r="L166" s="360">
        <v>15</v>
      </c>
      <c r="M166" s="560">
        <f t="shared" si="20"/>
        <v>60</v>
      </c>
      <c r="N166" s="566"/>
      <c r="O166" s="359"/>
      <c r="P166" s="378"/>
      <c r="Q166" s="359">
        <v>2</v>
      </c>
      <c r="R166" s="359"/>
      <c r="S166" s="378"/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</row>
    <row r="167" spans="1:29" ht="15.75" customHeight="1">
      <c r="A167" s="885"/>
      <c r="B167" s="568" t="s">
        <v>74</v>
      </c>
      <c r="C167" s="359"/>
      <c r="D167" s="359">
        <v>3</v>
      </c>
      <c r="E167" s="359"/>
      <c r="F167" s="359"/>
      <c r="G167" s="369">
        <v>3</v>
      </c>
      <c r="H167" s="370">
        <f t="shared" si="18"/>
        <v>90</v>
      </c>
      <c r="I167" s="360">
        <f t="shared" si="19"/>
        <v>30</v>
      </c>
      <c r="J167" s="360">
        <v>15</v>
      </c>
      <c r="K167" s="360"/>
      <c r="L167" s="360">
        <v>15</v>
      </c>
      <c r="M167" s="560">
        <f t="shared" si="20"/>
        <v>60</v>
      </c>
      <c r="N167" s="566"/>
      <c r="O167" s="359"/>
      <c r="P167" s="378"/>
      <c r="Q167" s="359">
        <v>2</v>
      </c>
      <c r="R167" s="359"/>
      <c r="S167" s="378"/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</row>
    <row r="168" spans="1:29" ht="15.75" customHeight="1">
      <c r="A168" s="885"/>
      <c r="B168" s="568" t="s">
        <v>75</v>
      </c>
      <c r="C168" s="359"/>
      <c r="D168" s="359">
        <v>3</v>
      </c>
      <c r="E168" s="359"/>
      <c r="F168" s="359"/>
      <c r="G168" s="369">
        <v>3</v>
      </c>
      <c r="H168" s="370">
        <f t="shared" si="18"/>
        <v>90</v>
      </c>
      <c r="I168" s="360">
        <f t="shared" si="19"/>
        <v>30</v>
      </c>
      <c r="J168" s="360">
        <v>15</v>
      </c>
      <c r="K168" s="360"/>
      <c r="L168" s="360">
        <v>15</v>
      </c>
      <c r="M168" s="560">
        <f t="shared" si="20"/>
        <v>60</v>
      </c>
      <c r="N168" s="566"/>
      <c r="O168" s="359"/>
      <c r="P168" s="378"/>
      <c r="Q168" s="359">
        <v>2</v>
      </c>
      <c r="R168" s="359"/>
      <c r="S168" s="378"/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</row>
    <row r="169" spans="1:29" ht="15.75" customHeight="1" thickBot="1">
      <c r="A169" s="886"/>
      <c r="B169" s="379" t="s">
        <v>303</v>
      </c>
      <c r="C169" s="380"/>
      <c r="D169" s="380">
        <v>3</v>
      </c>
      <c r="E169" s="380"/>
      <c r="F169" s="380"/>
      <c r="G169" s="381">
        <v>3</v>
      </c>
      <c r="H169" s="382">
        <f t="shared" si="18"/>
        <v>90</v>
      </c>
      <c r="I169" s="383">
        <f t="shared" si="19"/>
        <v>30</v>
      </c>
      <c r="J169" s="383">
        <v>15</v>
      </c>
      <c r="K169" s="383"/>
      <c r="L169" s="383">
        <v>15</v>
      </c>
      <c r="M169" s="561">
        <f t="shared" si="20"/>
        <v>60</v>
      </c>
      <c r="N169" s="567"/>
      <c r="O169" s="380"/>
      <c r="P169" s="384"/>
      <c r="Q169" s="380">
        <v>2</v>
      </c>
      <c r="R169" s="380"/>
      <c r="S169" s="384"/>
      <c r="T169" s="380"/>
      <c r="U169" s="380"/>
      <c r="V169" s="384"/>
      <c r="W169" s="365"/>
      <c r="X169" s="364"/>
      <c r="Y169" s="363"/>
      <c r="Z169" s="362"/>
      <c r="AA169" s="366"/>
      <c r="AB169" s="367"/>
      <c r="AC169" s="357"/>
    </row>
    <row r="170" spans="1:29" ht="15.75" customHeight="1">
      <c r="A170" s="884" t="s">
        <v>360</v>
      </c>
      <c r="B170" s="371" t="s">
        <v>358</v>
      </c>
      <c r="C170" s="372"/>
      <c r="D170" s="372" t="s">
        <v>261</v>
      </c>
      <c r="E170" s="372"/>
      <c r="F170" s="372"/>
      <c r="G170" s="373">
        <v>3</v>
      </c>
      <c r="H170" s="374">
        <f t="shared" si="18"/>
        <v>90</v>
      </c>
      <c r="I170" s="375">
        <f t="shared" si="19"/>
        <v>36</v>
      </c>
      <c r="J170" s="376">
        <v>18</v>
      </c>
      <c r="K170" s="376"/>
      <c r="L170" s="376">
        <v>18</v>
      </c>
      <c r="M170" s="559">
        <f>H170-I170</f>
        <v>54</v>
      </c>
      <c r="N170" s="565"/>
      <c r="O170" s="479"/>
      <c r="P170" s="480"/>
      <c r="Q170" s="562"/>
      <c r="R170" s="479">
        <v>2</v>
      </c>
      <c r="S170" s="480">
        <v>2</v>
      </c>
      <c r="T170" s="479"/>
      <c r="U170" s="372"/>
      <c r="V170" s="377"/>
      <c r="W170" s="368"/>
      <c r="X170" s="359"/>
      <c r="Y170" s="359"/>
      <c r="Z170" s="359"/>
      <c r="AA170" s="359"/>
      <c r="AB170" s="361"/>
      <c r="AC170" s="357"/>
    </row>
    <row r="171" spans="1:29" ht="15.75" customHeight="1">
      <c r="A171" s="885"/>
      <c r="B171" s="358" t="s">
        <v>305</v>
      </c>
      <c r="C171" s="359"/>
      <c r="D171" s="359" t="s">
        <v>261</v>
      </c>
      <c r="E171" s="359"/>
      <c r="F171" s="359"/>
      <c r="G171" s="369">
        <v>3</v>
      </c>
      <c r="H171" s="370">
        <f t="shared" si="18"/>
        <v>90</v>
      </c>
      <c r="I171" s="360">
        <f t="shared" si="19"/>
        <v>36</v>
      </c>
      <c r="J171" s="360">
        <v>18</v>
      </c>
      <c r="K171" s="360"/>
      <c r="L171" s="360">
        <v>18</v>
      </c>
      <c r="M171" s="560">
        <f>H171-I171</f>
        <v>54</v>
      </c>
      <c r="N171" s="566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</row>
    <row r="172" spans="1:29" ht="15.75" customHeight="1">
      <c r="A172" s="885"/>
      <c r="B172" s="358" t="s">
        <v>353</v>
      </c>
      <c r="C172" s="359"/>
      <c r="D172" s="359" t="s">
        <v>261</v>
      </c>
      <c r="E172" s="359"/>
      <c r="F172" s="359"/>
      <c r="G172" s="369">
        <v>3</v>
      </c>
      <c r="H172" s="370">
        <f t="shared" si="18"/>
        <v>90</v>
      </c>
      <c r="I172" s="360">
        <f t="shared" si="19"/>
        <v>36</v>
      </c>
      <c r="J172" s="360">
        <v>18</v>
      </c>
      <c r="K172" s="360"/>
      <c r="L172" s="360">
        <v>18</v>
      </c>
      <c r="M172" s="560">
        <f aca="true" t="shared" si="21" ref="M172:M178">H172-I172</f>
        <v>54</v>
      </c>
      <c r="N172" s="566"/>
      <c r="O172" s="359"/>
      <c r="P172" s="378"/>
      <c r="Q172" s="368"/>
      <c r="R172" s="359">
        <v>2</v>
      </c>
      <c r="S172" s="378">
        <v>2</v>
      </c>
      <c r="T172" s="359"/>
      <c r="U172" s="359"/>
      <c r="V172" s="378"/>
      <c r="W172" s="365"/>
      <c r="X172" s="364"/>
      <c r="Y172" s="363"/>
      <c r="Z172" s="362"/>
      <c r="AA172" s="366"/>
      <c r="AB172" s="367"/>
      <c r="AC172" s="357"/>
    </row>
    <row r="173" spans="1:29" ht="15.75" customHeight="1">
      <c r="A173" s="885"/>
      <c r="B173" s="358" t="s">
        <v>306</v>
      </c>
      <c r="C173" s="359"/>
      <c r="D173" s="359" t="s">
        <v>261</v>
      </c>
      <c r="E173" s="359"/>
      <c r="F173" s="359"/>
      <c r="G173" s="369">
        <v>3</v>
      </c>
      <c r="H173" s="370">
        <f t="shared" si="18"/>
        <v>90</v>
      </c>
      <c r="I173" s="360">
        <f>J173+K173+L173</f>
        <v>36</v>
      </c>
      <c r="J173" s="360">
        <v>18</v>
      </c>
      <c r="K173" s="360"/>
      <c r="L173" s="360">
        <v>18</v>
      </c>
      <c r="M173" s="560">
        <f t="shared" si="21"/>
        <v>54</v>
      </c>
      <c r="N173" s="566"/>
      <c r="O173" s="359"/>
      <c r="P173" s="378"/>
      <c r="Q173" s="368"/>
      <c r="R173" s="359">
        <v>2</v>
      </c>
      <c r="S173" s="378">
        <v>2</v>
      </c>
      <c r="T173" s="359"/>
      <c r="U173" s="359"/>
      <c r="V173" s="378"/>
      <c r="W173" s="365"/>
      <c r="X173" s="364"/>
      <c r="Y173" s="363"/>
      <c r="Z173" s="362"/>
      <c r="AA173" s="366"/>
      <c r="AB173" s="367"/>
      <c r="AC173" s="357"/>
    </row>
    <row r="174" spans="1:29" ht="15.75" customHeight="1">
      <c r="A174" s="885"/>
      <c r="B174" s="358" t="s">
        <v>361</v>
      </c>
      <c r="C174" s="359"/>
      <c r="D174" s="359" t="s">
        <v>261</v>
      </c>
      <c r="E174" s="359"/>
      <c r="F174" s="359"/>
      <c r="G174" s="369">
        <v>3</v>
      </c>
      <c r="H174" s="370">
        <f t="shared" si="18"/>
        <v>90</v>
      </c>
      <c r="I174" s="360">
        <f>J174+K174+L174</f>
        <v>36</v>
      </c>
      <c r="J174" s="360">
        <v>18</v>
      </c>
      <c r="K174" s="360"/>
      <c r="L174" s="360">
        <v>18</v>
      </c>
      <c r="M174" s="560">
        <f t="shared" si="21"/>
        <v>54</v>
      </c>
      <c r="N174" s="566"/>
      <c r="O174" s="359"/>
      <c r="P174" s="378"/>
      <c r="Q174" s="368"/>
      <c r="R174" s="359">
        <v>2</v>
      </c>
      <c r="S174" s="378">
        <v>2</v>
      </c>
      <c r="T174" s="359"/>
      <c r="U174" s="359"/>
      <c r="V174" s="378"/>
      <c r="W174" s="365"/>
      <c r="X174" s="364"/>
      <c r="Y174" s="363"/>
      <c r="Z174" s="362"/>
      <c r="AA174" s="366"/>
      <c r="AB174" s="367"/>
      <c r="AC174" s="357"/>
    </row>
    <row r="175" spans="1:29" ht="15.75" customHeight="1">
      <c r="A175" s="885"/>
      <c r="B175" s="358" t="s">
        <v>362</v>
      </c>
      <c r="C175" s="359"/>
      <c r="D175" s="359" t="s">
        <v>261</v>
      </c>
      <c r="E175" s="359"/>
      <c r="F175" s="359"/>
      <c r="G175" s="369">
        <v>3</v>
      </c>
      <c r="H175" s="370">
        <f t="shared" si="18"/>
        <v>90</v>
      </c>
      <c r="I175" s="360">
        <f>J175+K175+L175</f>
        <v>36</v>
      </c>
      <c r="J175" s="360">
        <v>18</v>
      </c>
      <c r="K175" s="360"/>
      <c r="L175" s="360">
        <v>18</v>
      </c>
      <c r="M175" s="560">
        <f t="shared" si="21"/>
        <v>54</v>
      </c>
      <c r="N175" s="566"/>
      <c r="O175" s="359"/>
      <c r="P175" s="378"/>
      <c r="Q175" s="368"/>
      <c r="R175" s="359">
        <v>2</v>
      </c>
      <c r="S175" s="378">
        <v>2</v>
      </c>
      <c r="T175" s="359"/>
      <c r="U175" s="359"/>
      <c r="V175" s="378"/>
      <c r="W175" s="365"/>
      <c r="X175" s="364"/>
      <c r="Y175" s="363"/>
      <c r="Z175" s="362"/>
      <c r="AA175" s="366"/>
      <c r="AB175" s="367"/>
      <c r="AC175" s="357"/>
    </row>
    <row r="176" spans="1:29" ht="15.75" customHeight="1">
      <c r="A176" s="885"/>
      <c r="B176" s="358" t="s">
        <v>363</v>
      </c>
      <c r="C176" s="359"/>
      <c r="D176" s="359" t="s">
        <v>261</v>
      </c>
      <c r="E176" s="359"/>
      <c r="F176" s="359"/>
      <c r="G176" s="369">
        <v>3</v>
      </c>
      <c r="H176" s="370">
        <f t="shared" si="18"/>
        <v>90</v>
      </c>
      <c r="I176" s="360">
        <f t="shared" si="19"/>
        <v>36</v>
      </c>
      <c r="J176" s="360">
        <v>18</v>
      </c>
      <c r="K176" s="360"/>
      <c r="L176" s="360">
        <v>18</v>
      </c>
      <c r="M176" s="560">
        <f t="shared" si="21"/>
        <v>54</v>
      </c>
      <c r="N176" s="566"/>
      <c r="O176" s="359"/>
      <c r="P176" s="378"/>
      <c r="Q176" s="368"/>
      <c r="R176" s="359">
        <v>2</v>
      </c>
      <c r="S176" s="378">
        <v>2</v>
      </c>
      <c r="T176" s="359"/>
      <c r="U176" s="359"/>
      <c r="V176" s="378"/>
      <c r="W176" s="365"/>
      <c r="X176" s="364"/>
      <c r="Y176" s="363"/>
      <c r="Z176" s="362"/>
      <c r="AA176" s="366"/>
      <c r="AB176" s="367"/>
      <c r="AC176" s="357"/>
    </row>
    <row r="177" spans="1:29" ht="15.75" customHeight="1">
      <c r="A177" s="885"/>
      <c r="B177" s="358" t="s">
        <v>307</v>
      </c>
      <c r="C177" s="359"/>
      <c r="D177" s="359" t="s">
        <v>261</v>
      </c>
      <c r="E177" s="359"/>
      <c r="F177" s="359"/>
      <c r="G177" s="369">
        <v>3</v>
      </c>
      <c r="H177" s="370">
        <f t="shared" si="18"/>
        <v>90</v>
      </c>
      <c r="I177" s="360">
        <f t="shared" si="19"/>
        <v>36</v>
      </c>
      <c r="J177" s="360">
        <v>18</v>
      </c>
      <c r="K177" s="360"/>
      <c r="L177" s="360">
        <v>18</v>
      </c>
      <c r="M177" s="560">
        <f t="shared" si="21"/>
        <v>54</v>
      </c>
      <c r="N177" s="566"/>
      <c r="O177" s="359"/>
      <c r="P177" s="378"/>
      <c r="Q177" s="368"/>
      <c r="R177" s="359">
        <v>2</v>
      </c>
      <c r="S177" s="378">
        <v>2</v>
      </c>
      <c r="T177" s="359"/>
      <c r="U177" s="359"/>
      <c r="V177" s="378"/>
      <c r="W177" s="365"/>
      <c r="X177" s="364"/>
      <c r="Y177" s="363"/>
      <c r="Z177" s="362"/>
      <c r="AA177" s="366"/>
      <c r="AB177" s="367"/>
      <c r="AC177" s="357"/>
    </row>
    <row r="178" spans="1:29" ht="15.75" customHeight="1" thickBot="1">
      <c r="A178" s="886"/>
      <c r="B178" s="379" t="s">
        <v>303</v>
      </c>
      <c r="C178" s="380"/>
      <c r="D178" s="359" t="s">
        <v>261</v>
      </c>
      <c r="E178" s="380"/>
      <c r="F178" s="380"/>
      <c r="G178" s="381">
        <v>3</v>
      </c>
      <c r="H178" s="382">
        <f t="shared" si="18"/>
        <v>90</v>
      </c>
      <c r="I178" s="383">
        <f t="shared" si="19"/>
        <v>36</v>
      </c>
      <c r="J178" s="360">
        <v>18</v>
      </c>
      <c r="K178" s="360"/>
      <c r="L178" s="360">
        <v>18</v>
      </c>
      <c r="M178" s="560">
        <f t="shared" si="21"/>
        <v>54</v>
      </c>
      <c r="N178" s="567"/>
      <c r="O178" s="380"/>
      <c r="P178" s="384"/>
      <c r="Q178" s="368"/>
      <c r="R178" s="359">
        <v>2</v>
      </c>
      <c r="S178" s="378">
        <v>2</v>
      </c>
      <c r="T178" s="380"/>
      <c r="U178" s="380"/>
      <c r="V178" s="384"/>
      <c r="W178" s="365"/>
      <c r="X178" s="364"/>
      <c r="Y178" s="363"/>
      <c r="Z178" s="362"/>
      <c r="AA178" s="366"/>
      <c r="AB178" s="367"/>
      <c r="AC178" s="357"/>
    </row>
    <row r="179" spans="1:28" s="143" customFormat="1" ht="18.75" customHeight="1" thickBot="1">
      <c r="A179" s="799" t="s">
        <v>290</v>
      </c>
      <c r="B179" s="800"/>
      <c r="C179" s="800"/>
      <c r="D179" s="800"/>
      <c r="E179" s="800"/>
      <c r="F179" s="800"/>
      <c r="G179" s="800"/>
      <c r="H179" s="800"/>
      <c r="I179" s="800"/>
      <c r="J179" s="800"/>
      <c r="K179" s="800"/>
      <c r="L179" s="800"/>
      <c r="M179" s="800"/>
      <c r="N179" s="801"/>
      <c r="O179" s="801"/>
      <c r="P179" s="801"/>
      <c r="Q179" s="800"/>
      <c r="R179" s="800"/>
      <c r="S179" s="800"/>
      <c r="T179" s="800"/>
      <c r="U179" s="800"/>
      <c r="V179" s="800"/>
      <c r="W179" s="802"/>
      <c r="X179" s="802"/>
      <c r="Y179" s="802"/>
      <c r="Z179" s="802"/>
      <c r="AA179" s="802"/>
      <c r="AB179" s="803"/>
    </row>
    <row r="180" spans="1:29" ht="15.75" customHeight="1">
      <c r="A180" s="793" t="s">
        <v>317</v>
      </c>
      <c r="B180" s="462" t="s">
        <v>320</v>
      </c>
      <c r="C180" s="463"/>
      <c r="D180" s="372"/>
      <c r="E180" s="372"/>
      <c r="F180" s="377"/>
      <c r="G180" s="464">
        <v>6</v>
      </c>
      <c r="H180" s="465">
        <f aca="true" t="shared" si="22" ref="H180:H192">G180*30</f>
        <v>180</v>
      </c>
      <c r="I180" s="520"/>
      <c r="J180" s="375"/>
      <c r="K180" s="375"/>
      <c r="L180" s="375"/>
      <c r="M180" s="559"/>
      <c r="N180" s="606"/>
      <c r="O180" s="479"/>
      <c r="P180" s="480"/>
      <c r="Q180" s="562">
        <v>5</v>
      </c>
      <c r="R180" s="479"/>
      <c r="S180" s="617"/>
      <c r="T180" s="606"/>
      <c r="U180" s="479"/>
      <c r="V180" s="480"/>
      <c r="W180" s="357"/>
      <c r="X180" s="357"/>
      <c r="Y180" s="357"/>
      <c r="Z180" s="357"/>
      <c r="AA180" s="357"/>
      <c r="AB180" s="357"/>
      <c r="AC180" s="357"/>
    </row>
    <row r="181" spans="1:29" ht="15.75" customHeight="1" hidden="1">
      <c r="A181" s="794"/>
      <c r="B181" s="466"/>
      <c r="C181" s="81"/>
      <c r="D181" s="4"/>
      <c r="E181" s="4"/>
      <c r="F181" s="4"/>
      <c r="G181" s="442"/>
      <c r="H181" s="442"/>
      <c r="I181" s="81"/>
      <c r="J181" s="4"/>
      <c r="K181" s="4"/>
      <c r="L181" s="4"/>
      <c r="M181" s="27"/>
      <c r="N181" s="31"/>
      <c r="O181" s="4"/>
      <c r="P181" s="32"/>
      <c r="Q181" s="368"/>
      <c r="R181" s="359"/>
      <c r="S181" s="618"/>
      <c r="T181" s="566"/>
      <c r="U181" s="359"/>
      <c r="V181" s="378"/>
      <c r="W181" s="357"/>
      <c r="X181" s="357"/>
      <c r="Y181" s="357"/>
      <c r="Z181" s="357"/>
      <c r="AA181" s="357"/>
      <c r="AB181" s="357"/>
      <c r="AC181" s="357"/>
    </row>
    <row r="182" spans="1:29" ht="15.75" customHeight="1" hidden="1">
      <c r="A182" s="794"/>
      <c r="B182" s="630"/>
      <c r="C182" s="81"/>
      <c r="D182" s="5"/>
      <c r="E182" s="4"/>
      <c r="F182" s="4"/>
      <c r="G182" s="442"/>
      <c r="H182" s="442"/>
      <c r="I182" s="81"/>
      <c r="J182" s="4"/>
      <c r="K182" s="4"/>
      <c r="L182" s="4"/>
      <c r="M182" s="27"/>
      <c r="N182" s="31"/>
      <c r="O182" s="4"/>
      <c r="P182" s="32"/>
      <c r="Q182" s="368"/>
      <c r="R182" s="359"/>
      <c r="S182" s="618"/>
      <c r="T182" s="566"/>
      <c r="U182" s="359"/>
      <c r="V182" s="378"/>
      <c r="W182" s="357"/>
      <c r="X182" s="357"/>
      <c r="Y182" s="357"/>
      <c r="Z182" s="357"/>
      <c r="AA182" s="357"/>
      <c r="AB182" s="357"/>
      <c r="AC182" s="357"/>
    </row>
    <row r="183" spans="1:29" ht="15.75" customHeight="1">
      <c r="A183" s="794"/>
      <c r="B183" s="630" t="s">
        <v>385</v>
      </c>
      <c r="C183" s="81"/>
      <c r="D183" s="4">
        <v>3</v>
      </c>
      <c r="E183" s="4"/>
      <c r="F183" s="4"/>
      <c r="G183" s="442">
        <v>3</v>
      </c>
      <c r="H183" s="442">
        <f t="shared" si="22"/>
        <v>90</v>
      </c>
      <c r="I183" s="81">
        <v>45</v>
      </c>
      <c r="J183" s="4">
        <v>30</v>
      </c>
      <c r="K183" s="4"/>
      <c r="L183" s="4">
        <v>15</v>
      </c>
      <c r="M183" s="27">
        <f>H183-I183</f>
        <v>45</v>
      </c>
      <c r="N183" s="31"/>
      <c r="O183" s="4"/>
      <c r="P183" s="32"/>
      <c r="Q183" s="368">
        <v>3</v>
      </c>
      <c r="R183" s="359"/>
      <c r="S183" s="618"/>
      <c r="T183" s="566"/>
      <c r="U183" s="359"/>
      <c r="V183" s="378"/>
      <c r="W183" s="357"/>
      <c r="X183" s="357"/>
      <c r="Y183" s="357"/>
      <c r="Z183" s="357"/>
      <c r="AA183" s="357"/>
      <c r="AB183" s="357"/>
      <c r="AC183" s="357"/>
    </row>
    <row r="184" spans="1:29" ht="15.75" customHeight="1">
      <c r="A184" s="794"/>
      <c r="B184" s="466" t="s">
        <v>341</v>
      </c>
      <c r="C184" s="81"/>
      <c r="D184" s="4">
        <v>3</v>
      </c>
      <c r="E184" s="4"/>
      <c r="F184" s="410"/>
      <c r="G184" s="470">
        <v>3</v>
      </c>
      <c r="H184" s="470">
        <f t="shared" si="22"/>
        <v>90</v>
      </c>
      <c r="I184" s="64">
        <f>SUMPRODUCT(N184:Y184,$N$7:$Y$7)</f>
        <v>30</v>
      </c>
      <c r="J184" s="4">
        <v>15</v>
      </c>
      <c r="K184" s="4">
        <v>15</v>
      </c>
      <c r="L184" s="4"/>
      <c r="M184" s="27">
        <f>H184-I184</f>
        <v>60</v>
      </c>
      <c r="N184" s="31"/>
      <c r="O184" s="4"/>
      <c r="P184" s="32"/>
      <c r="Q184" s="368">
        <v>2</v>
      </c>
      <c r="R184" s="359"/>
      <c r="S184" s="618"/>
      <c r="T184" s="566"/>
      <c r="U184" s="359"/>
      <c r="V184" s="378"/>
      <c r="W184" s="357"/>
      <c r="X184" s="357"/>
      <c r="Y184" s="357"/>
      <c r="Z184" s="357"/>
      <c r="AA184" s="357"/>
      <c r="AB184" s="357"/>
      <c r="AC184" s="357"/>
    </row>
    <row r="185" spans="1:29" ht="15.75" customHeight="1">
      <c r="A185" s="794"/>
      <c r="B185" s="601" t="s">
        <v>344</v>
      </c>
      <c r="C185" s="64"/>
      <c r="D185" s="4">
        <v>3</v>
      </c>
      <c r="E185" s="4"/>
      <c r="F185" s="410"/>
      <c r="G185" s="470">
        <v>3</v>
      </c>
      <c r="H185" s="470">
        <f t="shared" si="22"/>
        <v>90</v>
      </c>
      <c r="I185" s="64">
        <f>SUMPRODUCT(N185:Y185,$N$7:$Y$7)</f>
        <v>30</v>
      </c>
      <c r="J185" s="4">
        <v>15</v>
      </c>
      <c r="K185" s="4">
        <v>15</v>
      </c>
      <c r="L185" s="4"/>
      <c r="M185" s="27">
        <f>H185-I185</f>
        <v>60</v>
      </c>
      <c r="N185" s="31"/>
      <c r="O185" s="4"/>
      <c r="P185" s="32"/>
      <c r="Q185" s="368">
        <v>2</v>
      </c>
      <c r="R185" s="359"/>
      <c r="S185" s="618"/>
      <c r="T185" s="566"/>
      <c r="U185" s="359"/>
      <c r="V185" s="378"/>
      <c r="W185" s="357"/>
      <c r="X185" s="357"/>
      <c r="Y185" s="357"/>
      <c r="Z185" s="357"/>
      <c r="AA185" s="357"/>
      <c r="AB185" s="357"/>
      <c r="AC185" s="357"/>
    </row>
    <row r="186" spans="1:29" ht="15.75" customHeight="1">
      <c r="A186" s="794"/>
      <c r="B186" s="468" t="s">
        <v>318</v>
      </c>
      <c r="C186" s="64"/>
      <c r="D186" s="5">
        <v>3</v>
      </c>
      <c r="E186" s="4"/>
      <c r="F186" s="469"/>
      <c r="G186" s="470">
        <v>6</v>
      </c>
      <c r="H186" s="442">
        <f t="shared" si="22"/>
        <v>180</v>
      </c>
      <c r="I186" s="64">
        <v>75</v>
      </c>
      <c r="J186" s="4"/>
      <c r="K186" s="4"/>
      <c r="L186" s="4">
        <v>75</v>
      </c>
      <c r="M186" s="27">
        <f>H186-I186</f>
        <v>105</v>
      </c>
      <c r="N186" s="566"/>
      <c r="O186" s="359"/>
      <c r="P186" s="378"/>
      <c r="Q186" s="368">
        <v>5</v>
      </c>
      <c r="R186" s="359"/>
      <c r="S186" s="618"/>
      <c r="T186" s="566"/>
      <c r="U186" s="359"/>
      <c r="V186" s="378"/>
      <c r="W186" s="357"/>
      <c r="X186" s="357"/>
      <c r="Y186" s="357"/>
      <c r="Z186" s="357"/>
      <c r="AA186" s="357"/>
      <c r="AB186" s="357"/>
      <c r="AC186" s="357"/>
    </row>
    <row r="187" spans="1:29" ht="15.75" customHeight="1" thickBot="1">
      <c r="A187" s="795"/>
      <c r="B187" s="471" t="s">
        <v>303</v>
      </c>
      <c r="C187" s="472"/>
      <c r="D187" s="473">
        <v>3</v>
      </c>
      <c r="E187" s="473"/>
      <c r="F187" s="474"/>
      <c r="G187" s="475">
        <v>3</v>
      </c>
      <c r="H187" s="476">
        <f t="shared" si="22"/>
        <v>90</v>
      </c>
      <c r="I187" s="477"/>
      <c r="J187" s="478"/>
      <c r="K187" s="478"/>
      <c r="L187" s="478"/>
      <c r="M187" s="603"/>
      <c r="N187" s="567"/>
      <c r="O187" s="380"/>
      <c r="P187" s="384"/>
      <c r="Q187" s="564"/>
      <c r="R187" s="380"/>
      <c r="S187" s="619"/>
      <c r="T187" s="567"/>
      <c r="U187" s="380"/>
      <c r="V187" s="384"/>
      <c r="W187" s="357"/>
      <c r="X187" s="357"/>
      <c r="Y187" s="357"/>
      <c r="Z187" s="357"/>
      <c r="AA187" s="357"/>
      <c r="AB187" s="357"/>
      <c r="AC187" s="357"/>
    </row>
    <row r="188" spans="1:29" ht="15.75" customHeight="1">
      <c r="A188" s="793" t="s">
        <v>319</v>
      </c>
      <c r="B188" s="462" t="s">
        <v>323</v>
      </c>
      <c r="C188" s="463"/>
      <c r="D188" s="372"/>
      <c r="E188" s="372"/>
      <c r="F188" s="377"/>
      <c r="G188" s="464">
        <v>11</v>
      </c>
      <c r="H188" s="465">
        <f t="shared" si="22"/>
        <v>330</v>
      </c>
      <c r="I188" s="610">
        <f>SUM(I189:I190)</f>
        <v>112</v>
      </c>
      <c r="J188" s="610">
        <f>SUM(J189:J190)</f>
        <v>56</v>
      </c>
      <c r="K188" s="610">
        <f>SUM(K189:K190)</f>
        <v>56</v>
      </c>
      <c r="L188" s="610">
        <f>SUM(L189:L191)</f>
        <v>0</v>
      </c>
      <c r="M188" s="611">
        <f>H188-I188</f>
        <v>218</v>
      </c>
      <c r="N188" s="606"/>
      <c r="O188" s="479"/>
      <c r="P188" s="480"/>
      <c r="Q188" s="562"/>
      <c r="R188" s="613">
        <v>12</v>
      </c>
      <c r="S188" s="617"/>
      <c r="T188" s="606"/>
      <c r="U188" s="479"/>
      <c r="V188" s="480"/>
      <c r="W188" s="357"/>
      <c r="X188" s="357"/>
      <c r="Y188" s="357"/>
      <c r="Z188" s="357"/>
      <c r="AA188" s="357"/>
      <c r="AB188" s="357"/>
      <c r="AC188" s="357"/>
    </row>
    <row r="189" spans="1:29" ht="15.75" customHeight="1">
      <c r="A189" s="794"/>
      <c r="B189" s="468" t="s">
        <v>321</v>
      </c>
      <c r="C189" s="81"/>
      <c r="D189" s="5" t="s">
        <v>260</v>
      </c>
      <c r="E189" s="5"/>
      <c r="F189" s="410"/>
      <c r="G189" s="470">
        <v>4</v>
      </c>
      <c r="H189" s="442">
        <f t="shared" si="22"/>
        <v>120</v>
      </c>
      <c r="I189" s="64">
        <f>SUMPRODUCT(N189:Y189,$N$7:$Y$7)+4</f>
        <v>40</v>
      </c>
      <c r="J189" s="4">
        <v>20</v>
      </c>
      <c r="K189" s="4">
        <v>20</v>
      </c>
      <c r="L189" s="4"/>
      <c r="M189" s="32">
        <f>H189-I189</f>
        <v>80</v>
      </c>
      <c r="N189" s="566"/>
      <c r="O189" s="359"/>
      <c r="P189" s="378"/>
      <c r="Q189" s="368"/>
      <c r="R189" s="4">
        <v>4</v>
      </c>
      <c r="S189" s="618"/>
      <c r="T189" s="566"/>
      <c r="U189" s="359"/>
      <c r="V189" s="378"/>
      <c r="W189" s="357"/>
      <c r="X189" s="357"/>
      <c r="Y189" s="357"/>
      <c r="Z189" s="357"/>
      <c r="AA189" s="357"/>
      <c r="AB189" s="357"/>
      <c r="AC189" s="357"/>
    </row>
    <row r="190" spans="1:29" ht="15.75" customHeight="1">
      <c r="A190" s="794"/>
      <c r="B190" s="636" t="s">
        <v>372</v>
      </c>
      <c r="C190" s="81"/>
      <c r="D190" s="5" t="s">
        <v>260</v>
      </c>
      <c r="E190" s="5"/>
      <c r="F190" s="410"/>
      <c r="G190" s="637">
        <v>7</v>
      </c>
      <c r="H190" s="470">
        <f t="shared" si="22"/>
        <v>210</v>
      </c>
      <c r="I190" s="64">
        <f>SUMPRODUCT(N190:Y190,$N$7:$Y$7)</f>
        <v>72</v>
      </c>
      <c r="J190" s="7">
        <v>36</v>
      </c>
      <c r="K190" s="7">
        <v>36</v>
      </c>
      <c r="L190" s="7"/>
      <c r="M190" s="29">
        <f>H190-I190</f>
        <v>138</v>
      </c>
      <c r="N190" s="566"/>
      <c r="O190" s="359"/>
      <c r="P190" s="378"/>
      <c r="Q190" s="368"/>
      <c r="R190" s="7">
        <v>8</v>
      </c>
      <c r="S190" s="618"/>
      <c r="T190" s="566"/>
      <c r="U190" s="359"/>
      <c r="V190" s="378"/>
      <c r="W190" s="357"/>
      <c r="X190" s="357"/>
      <c r="Y190" s="357"/>
      <c r="Z190" s="357"/>
      <c r="AA190" s="357"/>
      <c r="AB190" s="357"/>
      <c r="AC190" s="357"/>
    </row>
    <row r="191" spans="1:29" ht="15.75" customHeight="1">
      <c r="A191" s="794"/>
      <c r="B191" s="468" t="s">
        <v>373</v>
      </c>
      <c r="C191" s="81"/>
      <c r="D191" s="5" t="s">
        <v>260</v>
      </c>
      <c r="E191" s="5"/>
      <c r="F191" s="410"/>
      <c r="G191" s="470">
        <v>4</v>
      </c>
      <c r="H191" s="442">
        <f t="shared" si="22"/>
        <v>120</v>
      </c>
      <c r="I191" s="64">
        <f>SUMPRODUCT(N191:Y191,$N$7:$Y$7)+4</f>
        <v>40</v>
      </c>
      <c r="J191" s="4">
        <v>20</v>
      </c>
      <c r="K191" s="4">
        <v>20</v>
      </c>
      <c r="L191" s="4"/>
      <c r="M191" s="32">
        <f>H191-I191</f>
        <v>80</v>
      </c>
      <c r="N191" s="566"/>
      <c r="O191" s="359"/>
      <c r="P191" s="378"/>
      <c r="Q191" s="368"/>
      <c r="R191" s="4">
        <v>4</v>
      </c>
      <c r="S191" s="618"/>
      <c r="T191" s="566"/>
      <c r="U191" s="359"/>
      <c r="V191" s="378"/>
      <c r="W191" s="357"/>
      <c r="X191" s="357"/>
      <c r="Y191" s="357"/>
      <c r="Z191" s="357"/>
      <c r="AA191" s="357"/>
      <c r="AB191" s="357"/>
      <c r="AC191" s="357"/>
    </row>
    <row r="192" spans="1:29" ht="15.75" customHeight="1">
      <c r="A192" s="794"/>
      <c r="B192" s="468" t="s">
        <v>318</v>
      </c>
      <c r="C192" s="81"/>
      <c r="D192" s="5" t="s">
        <v>260</v>
      </c>
      <c r="E192" s="4"/>
      <c r="F192" s="469"/>
      <c r="G192" s="470">
        <v>11</v>
      </c>
      <c r="H192" s="442">
        <f t="shared" si="22"/>
        <v>330</v>
      </c>
      <c r="I192" s="64">
        <f>SUMPRODUCT(N192:Y192,$N$7:$Y$7)+2</f>
        <v>110</v>
      </c>
      <c r="J192" s="4"/>
      <c r="K192" s="4"/>
      <c r="L192" s="4">
        <v>110</v>
      </c>
      <c r="M192" s="32">
        <f>H192-I192</f>
        <v>220</v>
      </c>
      <c r="N192" s="566"/>
      <c r="O192" s="359"/>
      <c r="P192" s="378"/>
      <c r="Q192" s="368"/>
      <c r="R192" s="4">
        <v>12</v>
      </c>
      <c r="S192" s="618"/>
      <c r="T192" s="566"/>
      <c r="U192" s="359"/>
      <c r="V192" s="378"/>
      <c r="W192" s="357"/>
      <c r="X192" s="357"/>
      <c r="Y192" s="357"/>
      <c r="Z192" s="357"/>
      <c r="AA192" s="357"/>
      <c r="AB192" s="357"/>
      <c r="AC192" s="357"/>
    </row>
    <row r="193" spans="1:29" ht="15.75" customHeight="1" thickBot="1">
      <c r="A193" s="795"/>
      <c r="B193" s="471" t="s">
        <v>303</v>
      </c>
      <c r="C193" s="472"/>
      <c r="D193" s="473" t="s">
        <v>260</v>
      </c>
      <c r="E193" s="473"/>
      <c r="F193" s="474"/>
      <c r="G193" s="475">
        <v>4</v>
      </c>
      <c r="H193" s="476">
        <f>G193*30</f>
        <v>120</v>
      </c>
      <c r="I193" s="477"/>
      <c r="J193" s="478"/>
      <c r="K193" s="478"/>
      <c r="L193" s="478"/>
      <c r="M193" s="612"/>
      <c r="N193" s="567"/>
      <c r="O193" s="380"/>
      <c r="P193" s="384"/>
      <c r="Q193" s="564"/>
      <c r="R193" s="614"/>
      <c r="S193" s="619"/>
      <c r="T193" s="567"/>
      <c r="U193" s="380"/>
      <c r="V193" s="384"/>
      <c r="W193" s="357"/>
      <c r="X193" s="357"/>
      <c r="Y193" s="357"/>
      <c r="Z193" s="357"/>
      <c r="AA193" s="357"/>
      <c r="AB193" s="357"/>
      <c r="AC193" s="357"/>
    </row>
    <row r="194" spans="1:29" ht="15.75" customHeight="1">
      <c r="A194" s="793" t="s">
        <v>322</v>
      </c>
      <c r="B194" s="462" t="s">
        <v>374</v>
      </c>
      <c r="C194" s="463"/>
      <c r="D194" s="372"/>
      <c r="E194" s="372"/>
      <c r="F194" s="377"/>
      <c r="G194" s="464">
        <v>7</v>
      </c>
      <c r="H194" s="465">
        <f>G194*30</f>
        <v>210</v>
      </c>
      <c r="I194" s="610">
        <f>SUM(I195,I197)</f>
        <v>78</v>
      </c>
      <c r="J194" s="610">
        <f>SUM(J195,J197)</f>
        <v>30</v>
      </c>
      <c r="K194" s="610">
        <f>SUM(K195,K197)</f>
        <v>30</v>
      </c>
      <c r="L194" s="610">
        <f>SUM(L195,L197)</f>
        <v>18</v>
      </c>
      <c r="M194" s="610">
        <f>SUM(M195,M197)</f>
        <v>132</v>
      </c>
      <c r="N194" s="606"/>
      <c r="O194" s="479"/>
      <c r="P194" s="480"/>
      <c r="Q194" s="562"/>
      <c r="R194" s="613"/>
      <c r="S194" s="620">
        <v>8</v>
      </c>
      <c r="T194" s="606"/>
      <c r="U194" s="479"/>
      <c r="V194" s="480"/>
      <c r="W194" s="357"/>
      <c r="X194" s="357"/>
      <c r="Y194" s="357"/>
      <c r="Z194" s="357"/>
      <c r="AA194" s="357"/>
      <c r="AB194" s="357"/>
      <c r="AC194" s="357"/>
    </row>
    <row r="195" spans="1:29" ht="15.75" customHeight="1">
      <c r="A195" s="794"/>
      <c r="B195" s="468" t="s">
        <v>375</v>
      </c>
      <c r="C195" s="64"/>
      <c r="D195" s="4"/>
      <c r="E195" s="4"/>
      <c r="F195" s="615" t="s">
        <v>261</v>
      </c>
      <c r="G195" s="470">
        <v>1</v>
      </c>
      <c r="H195" s="442">
        <f>G195*30</f>
        <v>30</v>
      </c>
      <c r="I195" s="64">
        <f>SUMPRODUCT(N195:Y195,$N$7:$Y$7)</f>
        <v>18</v>
      </c>
      <c r="J195" s="4"/>
      <c r="K195" s="4"/>
      <c r="L195" s="4">
        <v>18</v>
      </c>
      <c r="M195" s="32">
        <f>H195-I195</f>
        <v>12</v>
      </c>
      <c r="N195" s="566"/>
      <c r="O195" s="359"/>
      <c r="P195" s="378"/>
      <c r="Q195" s="368"/>
      <c r="R195" s="4"/>
      <c r="S195" s="27">
        <v>2</v>
      </c>
      <c r="T195" s="566"/>
      <c r="U195" s="359"/>
      <c r="V195" s="378"/>
      <c r="W195" s="357"/>
      <c r="X195" s="357"/>
      <c r="Y195" s="357"/>
      <c r="Z195" s="357"/>
      <c r="AA195" s="357"/>
      <c r="AB195" s="357"/>
      <c r="AC195" s="357"/>
    </row>
    <row r="196" spans="1:29" ht="15.75" customHeight="1">
      <c r="A196" s="794"/>
      <c r="B196" s="468" t="s">
        <v>318</v>
      </c>
      <c r="C196" s="64"/>
      <c r="D196" s="4" t="s">
        <v>261</v>
      </c>
      <c r="E196" s="4"/>
      <c r="F196" s="469"/>
      <c r="G196" s="470">
        <v>1</v>
      </c>
      <c r="H196" s="470">
        <f>30*G196</f>
        <v>30</v>
      </c>
      <c r="I196" s="64">
        <f>SUMPRODUCT(N196:Y196,$N$7:$Y$7)</f>
        <v>18</v>
      </c>
      <c r="J196" s="4"/>
      <c r="K196" s="4"/>
      <c r="L196" s="4">
        <v>54</v>
      </c>
      <c r="M196" s="32">
        <f>H196-I196</f>
        <v>12</v>
      </c>
      <c r="N196" s="566"/>
      <c r="O196" s="359"/>
      <c r="P196" s="378"/>
      <c r="Q196" s="368"/>
      <c r="R196" s="7"/>
      <c r="S196" s="27">
        <v>2</v>
      </c>
      <c r="T196" s="566"/>
      <c r="U196" s="359"/>
      <c r="V196" s="378"/>
      <c r="W196" s="357"/>
      <c r="X196" s="357"/>
      <c r="Y196" s="357"/>
      <c r="Z196" s="357"/>
      <c r="AA196" s="357"/>
      <c r="AB196" s="357"/>
      <c r="AC196" s="357"/>
    </row>
    <row r="197" spans="1:29" ht="15.75" customHeight="1">
      <c r="A197" s="794"/>
      <c r="B197" s="616" t="s">
        <v>324</v>
      </c>
      <c r="C197" s="64"/>
      <c r="D197" s="4" t="s">
        <v>261</v>
      </c>
      <c r="E197" s="4"/>
      <c r="F197" s="27"/>
      <c r="G197" s="470">
        <f>H197/30</f>
        <v>6</v>
      </c>
      <c r="H197" s="470">
        <v>180</v>
      </c>
      <c r="I197" s="64">
        <f>SUMPRODUCT(N197:Y197,$N$7:$Y$7)+6</f>
        <v>60</v>
      </c>
      <c r="J197" s="4">
        <v>30</v>
      </c>
      <c r="K197" s="4">
        <v>30</v>
      </c>
      <c r="L197" s="4"/>
      <c r="M197" s="32">
        <f>H197-I197</f>
        <v>120</v>
      </c>
      <c r="N197" s="566"/>
      <c r="O197" s="359"/>
      <c r="P197" s="378"/>
      <c r="Q197" s="368"/>
      <c r="R197" s="4"/>
      <c r="S197" s="27">
        <v>6</v>
      </c>
      <c r="T197" s="566"/>
      <c r="U197" s="359"/>
      <c r="V197" s="378"/>
      <c r="W197" s="357"/>
      <c r="X197" s="357"/>
      <c r="Y197" s="357"/>
      <c r="Z197" s="357"/>
      <c r="AA197" s="357"/>
      <c r="AB197" s="357"/>
      <c r="AC197" s="357"/>
    </row>
    <row r="198" spans="1:29" ht="15.75" customHeight="1">
      <c r="A198" s="794"/>
      <c r="B198" s="468" t="s">
        <v>376</v>
      </c>
      <c r="C198" s="64"/>
      <c r="D198" s="4" t="s">
        <v>261</v>
      </c>
      <c r="E198" s="4"/>
      <c r="F198" s="27"/>
      <c r="G198" s="470">
        <f>H198/30</f>
        <v>6</v>
      </c>
      <c r="H198" s="470">
        <v>180</v>
      </c>
      <c r="I198" s="64">
        <f>SUMPRODUCT(N198:Y198,$N$7:$Y$7)+6</f>
        <v>60</v>
      </c>
      <c r="J198" s="4">
        <v>30</v>
      </c>
      <c r="K198" s="4">
        <v>30</v>
      </c>
      <c r="L198" s="4"/>
      <c r="M198" s="32">
        <f>H198-I198</f>
        <v>120</v>
      </c>
      <c r="N198" s="566"/>
      <c r="O198" s="359"/>
      <c r="P198" s="378"/>
      <c r="Q198" s="368"/>
      <c r="R198" s="5"/>
      <c r="S198" s="27">
        <v>6</v>
      </c>
      <c r="T198" s="566"/>
      <c r="U198" s="359"/>
      <c r="V198" s="378"/>
      <c r="W198" s="357"/>
      <c r="X198" s="357"/>
      <c r="Y198" s="357"/>
      <c r="Z198" s="357"/>
      <c r="AA198" s="357"/>
      <c r="AB198" s="357"/>
      <c r="AC198" s="357"/>
    </row>
    <row r="199" spans="1:29" ht="15.75" customHeight="1" thickBot="1">
      <c r="A199" s="795"/>
      <c r="B199" s="471" t="s">
        <v>303</v>
      </c>
      <c r="C199" s="472"/>
      <c r="D199" s="473"/>
      <c r="E199" s="473"/>
      <c r="F199" s="474"/>
      <c r="G199" s="475">
        <v>7</v>
      </c>
      <c r="H199" s="476">
        <f>G199*30</f>
        <v>210</v>
      </c>
      <c r="I199" s="477"/>
      <c r="J199" s="478"/>
      <c r="K199" s="478"/>
      <c r="L199" s="478"/>
      <c r="M199" s="612"/>
      <c r="N199" s="566"/>
      <c r="O199" s="359"/>
      <c r="P199" s="378"/>
      <c r="Q199" s="368"/>
      <c r="R199" s="4"/>
      <c r="S199" s="621"/>
      <c r="T199" s="566"/>
      <c r="U199" s="359"/>
      <c r="V199" s="378"/>
      <c r="W199" s="357"/>
      <c r="X199" s="357"/>
      <c r="Y199" s="357"/>
      <c r="Z199" s="357"/>
      <c r="AA199" s="357"/>
      <c r="AB199" s="357"/>
      <c r="AC199" s="357"/>
    </row>
    <row r="200" spans="1:29" ht="15.75" customHeight="1">
      <c r="A200" s="793" t="s">
        <v>346</v>
      </c>
      <c r="B200" s="462" t="s">
        <v>379</v>
      </c>
      <c r="C200" s="463"/>
      <c r="D200" s="372"/>
      <c r="E200" s="372"/>
      <c r="F200" s="377"/>
      <c r="G200" s="464">
        <v>7</v>
      </c>
      <c r="H200" s="465">
        <f>G200*30</f>
        <v>210</v>
      </c>
      <c r="I200" s="610">
        <v>90</v>
      </c>
      <c r="J200" s="610">
        <v>45</v>
      </c>
      <c r="K200" s="610">
        <v>45</v>
      </c>
      <c r="L200" s="610">
        <f>SUM(L201)</f>
        <v>0</v>
      </c>
      <c r="M200" s="610">
        <f>SUM(M201)</f>
        <v>60</v>
      </c>
      <c r="N200" s="606"/>
      <c r="O200" s="479"/>
      <c r="P200" s="480"/>
      <c r="Q200" s="562"/>
      <c r="R200" s="479"/>
      <c r="S200" s="617"/>
      <c r="T200" s="606">
        <v>6</v>
      </c>
      <c r="U200" s="479"/>
      <c r="V200" s="480"/>
      <c r="W200" s="357"/>
      <c r="X200" s="357"/>
      <c r="Y200" s="357"/>
      <c r="Z200" s="357"/>
      <c r="AA200" s="357"/>
      <c r="AB200" s="357"/>
      <c r="AC200" s="357"/>
    </row>
    <row r="201" spans="1:29" ht="15.75" customHeight="1">
      <c r="A201" s="794"/>
      <c r="B201" s="627" t="s">
        <v>377</v>
      </c>
      <c r="C201" s="81"/>
      <c r="D201" s="5">
        <v>5</v>
      </c>
      <c r="E201" s="5"/>
      <c r="F201" s="467"/>
      <c r="G201" s="470">
        <f>H201/30</f>
        <v>3</v>
      </c>
      <c r="H201" s="470">
        <v>90</v>
      </c>
      <c r="I201" s="64">
        <f>SUMPRODUCT(N201:Y201,$N$7:$Y$7)</f>
        <v>30</v>
      </c>
      <c r="J201" s="4">
        <v>15</v>
      </c>
      <c r="K201" s="4">
        <v>15</v>
      </c>
      <c r="L201" s="4"/>
      <c r="M201" s="32">
        <f>H201-I201</f>
        <v>60</v>
      </c>
      <c r="N201" s="566"/>
      <c r="O201" s="359"/>
      <c r="P201" s="378"/>
      <c r="Q201" s="368"/>
      <c r="R201" s="359"/>
      <c r="S201" s="618"/>
      <c r="T201" s="53">
        <v>2</v>
      </c>
      <c r="U201" s="359"/>
      <c r="V201" s="378"/>
      <c r="W201" s="357"/>
      <c r="X201" s="357"/>
      <c r="Y201" s="357"/>
      <c r="Z201" s="357"/>
      <c r="AA201" s="357"/>
      <c r="AB201" s="357"/>
      <c r="AC201" s="357"/>
    </row>
    <row r="202" spans="1:29" ht="15.75" customHeight="1">
      <c r="A202" s="794"/>
      <c r="B202" s="628" t="s">
        <v>378</v>
      </c>
      <c r="C202" s="64"/>
      <c r="D202" s="5">
        <v>5</v>
      </c>
      <c r="E202" s="4"/>
      <c r="F202" s="410"/>
      <c r="G202" s="470">
        <f>H202/30</f>
        <v>3</v>
      </c>
      <c r="H202" s="470">
        <v>90</v>
      </c>
      <c r="I202" s="64">
        <f>SUMPRODUCT(N202:Y202,$N$7:$Y$7)</f>
        <v>30</v>
      </c>
      <c r="J202" s="4">
        <v>15</v>
      </c>
      <c r="K202" s="4">
        <v>15</v>
      </c>
      <c r="L202" s="4"/>
      <c r="M202" s="32">
        <f>H202-I202</f>
        <v>60</v>
      </c>
      <c r="N202" s="566"/>
      <c r="O202" s="359"/>
      <c r="P202" s="378"/>
      <c r="Q202" s="368"/>
      <c r="R202" s="359"/>
      <c r="S202" s="618"/>
      <c r="T202" s="31">
        <v>2</v>
      </c>
      <c r="U202" s="359"/>
      <c r="V202" s="378"/>
      <c r="W202" s="357"/>
      <c r="X202" s="357"/>
      <c r="Y202" s="357"/>
      <c r="Z202" s="357"/>
      <c r="AA202" s="357"/>
      <c r="AB202" s="357"/>
      <c r="AC202" s="357"/>
    </row>
    <row r="203" spans="1:29" ht="15.75" customHeight="1">
      <c r="A203" s="794"/>
      <c r="B203" s="468" t="s">
        <v>394</v>
      </c>
      <c r="C203" s="629"/>
      <c r="D203" s="4">
        <v>5</v>
      </c>
      <c r="E203" s="400"/>
      <c r="F203" s="602"/>
      <c r="G203" s="470">
        <v>4</v>
      </c>
      <c r="H203" s="470">
        <f>G203*30</f>
        <v>120</v>
      </c>
      <c r="I203" s="64">
        <f>SUMPRODUCT(N203:Y203,$N$7:$Y$7)</f>
        <v>60</v>
      </c>
      <c r="J203" s="5">
        <v>30</v>
      </c>
      <c r="K203" s="5">
        <v>30</v>
      </c>
      <c r="L203" s="5"/>
      <c r="M203" s="52">
        <f>H203-I203</f>
        <v>60</v>
      </c>
      <c r="N203" s="31"/>
      <c r="O203" s="4"/>
      <c r="P203" s="32"/>
      <c r="Q203" s="368"/>
      <c r="R203" s="359"/>
      <c r="S203" s="618"/>
      <c r="T203" s="31">
        <v>4</v>
      </c>
      <c r="U203" s="359"/>
      <c r="V203" s="378"/>
      <c r="W203" s="357"/>
      <c r="X203" s="357"/>
      <c r="Y203" s="357"/>
      <c r="Z203" s="357"/>
      <c r="AA203" s="357"/>
      <c r="AB203" s="357"/>
      <c r="AC203" s="357"/>
    </row>
    <row r="204" spans="1:29" ht="15.75" customHeight="1">
      <c r="A204" s="794"/>
      <c r="B204" s="466" t="s">
        <v>318</v>
      </c>
      <c r="C204" s="64"/>
      <c r="D204" s="5">
        <v>5</v>
      </c>
      <c r="E204" s="4"/>
      <c r="F204" s="410"/>
      <c r="G204" s="470">
        <v>7</v>
      </c>
      <c r="H204" s="470">
        <v>90</v>
      </c>
      <c r="I204" s="31">
        <f>SUMPRODUCT(N204:Y204,$N$7:$Y$7)</f>
        <v>90</v>
      </c>
      <c r="J204" s="4"/>
      <c r="K204" s="4"/>
      <c r="L204" s="4"/>
      <c r="M204" s="32">
        <f>H204-I204</f>
        <v>0</v>
      </c>
      <c r="N204" s="566"/>
      <c r="O204" s="359"/>
      <c r="P204" s="378"/>
      <c r="Q204" s="368"/>
      <c r="R204" s="359"/>
      <c r="S204" s="618"/>
      <c r="T204" s="31">
        <v>6</v>
      </c>
      <c r="U204" s="359"/>
      <c r="V204" s="378"/>
      <c r="W204" s="357"/>
      <c r="X204" s="357"/>
      <c r="Y204" s="357"/>
      <c r="Z204" s="357"/>
      <c r="AA204" s="357"/>
      <c r="AB204" s="357"/>
      <c r="AC204" s="357"/>
    </row>
    <row r="205" spans="1:29" ht="15.75" customHeight="1" thickBot="1">
      <c r="A205" s="794"/>
      <c r="B205" s="471" t="s">
        <v>303</v>
      </c>
      <c r="C205" s="64"/>
      <c r="D205" s="5">
        <v>5</v>
      </c>
      <c r="E205" s="4"/>
      <c r="F205" s="469"/>
      <c r="G205" s="475">
        <v>3</v>
      </c>
      <c r="H205" s="476">
        <f>G205*30</f>
        <v>90</v>
      </c>
      <c r="I205" s="477"/>
      <c r="J205" s="478"/>
      <c r="K205" s="478"/>
      <c r="L205" s="478"/>
      <c r="M205" s="612"/>
      <c r="N205" s="566"/>
      <c r="O205" s="359"/>
      <c r="P205" s="378"/>
      <c r="Q205" s="368"/>
      <c r="R205" s="359"/>
      <c r="S205" s="618"/>
      <c r="T205" s="566"/>
      <c r="U205" s="359"/>
      <c r="V205" s="378"/>
      <c r="W205" s="357"/>
      <c r="X205" s="357"/>
      <c r="Y205" s="357"/>
      <c r="Z205" s="357"/>
      <c r="AA205" s="357"/>
      <c r="AB205" s="357"/>
      <c r="AC205" s="357"/>
    </row>
    <row r="206" spans="1:29" ht="15.75" customHeight="1">
      <c r="A206" s="793" t="s">
        <v>383</v>
      </c>
      <c r="B206" s="462" t="s">
        <v>381</v>
      </c>
      <c r="C206" s="463"/>
      <c r="D206" s="372"/>
      <c r="E206" s="372"/>
      <c r="F206" s="377"/>
      <c r="G206" s="464">
        <v>8</v>
      </c>
      <c r="H206" s="465">
        <f>G206*30</f>
        <v>240</v>
      </c>
      <c r="I206" s="610">
        <f>SUM(I207,I209)</f>
        <v>108</v>
      </c>
      <c r="J206" s="610">
        <f>SUM(J207,J209)</f>
        <v>54</v>
      </c>
      <c r="K206" s="610">
        <f>SUM(K207,K209)</f>
        <v>54</v>
      </c>
      <c r="L206" s="610">
        <f>SUM(L207,L209)</f>
        <v>0</v>
      </c>
      <c r="M206" s="610">
        <f>SUM(M207,M209)</f>
        <v>162</v>
      </c>
      <c r="N206" s="606"/>
      <c r="O206" s="479"/>
      <c r="P206" s="480"/>
      <c r="Q206" s="562"/>
      <c r="R206" s="479"/>
      <c r="S206" s="617"/>
      <c r="T206" s="606"/>
      <c r="U206" s="620">
        <v>12</v>
      </c>
      <c r="V206" s="480"/>
      <c r="W206" s="357"/>
      <c r="X206" s="357"/>
      <c r="Y206" s="357"/>
      <c r="Z206" s="357"/>
      <c r="AA206" s="357"/>
      <c r="AB206" s="357"/>
      <c r="AC206" s="357"/>
    </row>
    <row r="207" spans="1:29" ht="15.75" customHeight="1">
      <c r="A207" s="794"/>
      <c r="B207" s="628" t="s">
        <v>325</v>
      </c>
      <c r="C207" s="64"/>
      <c r="D207" s="4" t="s">
        <v>382</v>
      </c>
      <c r="E207" s="4"/>
      <c r="F207" s="410"/>
      <c r="G207" s="470">
        <v>4</v>
      </c>
      <c r="H207" s="81">
        <f>G207*30</f>
        <v>120</v>
      </c>
      <c r="I207" s="4">
        <f>SUMPRODUCT(N207:Y207,$N$7:$Y$7)</f>
        <v>54</v>
      </c>
      <c r="J207" s="4">
        <v>27</v>
      </c>
      <c r="K207" s="4">
        <v>27</v>
      </c>
      <c r="L207" s="4"/>
      <c r="M207" s="32">
        <f>H207-I207</f>
        <v>66</v>
      </c>
      <c r="N207" s="566"/>
      <c r="O207" s="359"/>
      <c r="P207" s="378"/>
      <c r="Q207" s="368"/>
      <c r="R207" s="359"/>
      <c r="S207" s="618"/>
      <c r="T207" s="566"/>
      <c r="U207" s="4">
        <v>6</v>
      </c>
      <c r="V207" s="378"/>
      <c r="W207" s="357"/>
      <c r="X207" s="357"/>
      <c r="Y207" s="357"/>
      <c r="Z207" s="357"/>
      <c r="AA207" s="357"/>
      <c r="AB207" s="357"/>
      <c r="AC207" s="357"/>
    </row>
    <row r="208" spans="1:29" ht="15.75" customHeight="1">
      <c r="A208" s="794"/>
      <c r="B208" s="468" t="s">
        <v>318</v>
      </c>
      <c r="C208" s="64"/>
      <c r="D208" s="4" t="s">
        <v>382</v>
      </c>
      <c r="E208" s="4"/>
      <c r="F208" s="469"/>
      <c r="G208" s="470">
        <v>4</v>
      </c>
      <c r="H208" s="64">
        <f>30*G208</f>
        <v>120</v>
      </c>
      <c r="I208" s="4">
        <f>SUMPRODUCT(N208:Y208,$N$7:$Y$7)</f>
        <v>54</v>
      </c>
      <c r="J208" s="4"/>
      <c r="K208" s="4"/>
      <c r="L208" s="4">
        <v>54</v>
      </c>
      <c r="M208" s="32">
        <f>H208-I208</f>
        <v>66</v>
      </c>
      <c r="N208" s="566"/>
      <c r="O208" s="359"/>
      <c r="P208" s="378"/>
      <c r="Q208" s="368"/>
      <c r="R208" s="359"/>
      <c r="S208" s="618"/>
      <c r="T208" s="566"/>
      <c r="U208" s="12">
        <v>6</v>
      </c>
      <c r="V208" s="378"/>
      <c r="W208" s="357"/>
      <c r="X208" s="357"/>
      <c r="Y208" s="357"/>
      <c r="Z208" s="357"/>
      <c r="AA208" s="357"/>
      <c r="AB208" s="357"/>
      <c r="AC208" s="357"/>
    </row>
    <row r="209" spans="1:29" ht="15.75" customHeight="1">
      <c r="A209" s="794"/>
      <c r="B209" s="468" t="s">
        <v>227</v>
      </c>
      <c r="C209" s="64"/>
      <c r="D209" s="4" t="s">
        <v>382</v>
      </c>
      <c r="E209" s="4"/>
      <c r="F209" s="27"/>
      <c r="G209" s="470">
        <v>4</v>
      </c>
      <c r="H209" s="31">
        <v>150</v>
      </c>
      <c r="I209" s="4">
        <f>SUMPRODUCT(N209:Y209,$N$7:$Y$7)</f>
        <v>54</v>
      </c>
      <c r="J209" s="4">
        <v>27</v>
      </c>
      <c r="K209" s="4">
        <v>27</v>
      </c>
      <c r="L209" s="4"/>
      <c r="M209" s="32">
        <f>H209-I209</f>
        <v>96</v>
      </c>
      <c r="N209" s="566"/>
      <c r="O209" s="359"/>
      <c r="P209" s="378"/>
      <c r="Q209" s="368"/>
      <c r="R209" s="359"/>
      <c r="S209" s="618"/>
      <c r="T209" s="566"/>
      <c r="U209" s="4">
        <v>6</v>
      </c>
      <c r="V209" s="378"/>
      <c r="W209" s="357"/>
      <c r="X209" s="357"/>
      <c r="Y209" s="357"/>
      <c r="Z209" s="357"/>
      <c r="AA209" s="357"/>
      <c r="AB209" s="357"/>
      <c r="AC209" s="357"/>
    </row>
    <row r="210" spans="1:29" ht="15.75" customHeight="1">
      <c r="A210" s="794"/>
      <c r="B210" s="466" t="s">
        <v>380</v>
      </c>
      <c r="C210" s="81"/>
      <c r="D210" s="4" t="s">
        <v>382</v>
      </c>
      <c r="E210" s="5"/>
      <c r="F210" s="52"/>
      <c r="G210" s="442">
        <v>4</v>
      </c>
      <c r="H210" s="53">
        <v>150</v>
      </c>
      <c r="I210" s="5">
        <f>SUMPRODUCT(N210:Y210,$N$7:$Y$7)</f>
        <v>54</v>
      </c>
      <c r="J210" s="5">
        <v>27</v>
      </c>
      <c r="K210" s="5">
        <v>27</v>
      </c>
      <c r="L210" s="5"/>
      <c r="M210" s="54">
        <f>H210-I210</f>
        <v>96</v>
      </c>
      <c r="N210" s="566"/>
      <c r="O210" s="359"/>
      <c r="P210" s="378"/>
      <c r="Q210" s="368"/>
      <c r="R210" s="359"/>
      <c r="S210" s="618"/>
      <c r="T210" s="566"/>
      <c r="U210" s="5">
        <v>6</v>
      </c>
      <c r="V210" s="378"/>
      <c r="W210" s="357"/>
      <c r="X210" s="357"/>
      <c r="Y210" s="357"/>
      <c r="Z210" s="357"/>
      <c r="AA210" s="357"/>
      <c r="AB210" s="357"/>
      <c r="AC210" s="357"/>
    </row>
    <row r="211" spans="1:29" ht="15.75" customHeight="1" thickBot="1">
      <c r="A211" s="794"/>
      <c r="B211" s="471" t="s">
        <v>303</v>
      </c>
      <c r="C211" s="472"/>
      <c r="D211" s="473"/>
      <c r="E211" s="473"/>
      <c r="F211" s="474"/>
      <c r="G211" s="475">
        <v>4</v>
      </c>
      <c r="H211" s="476">
        <f aca="true" t="shared" si="23" ref="H211:H217">G211*30</f>
        <v>120</v>
      </c>
      <c r="I211" s="477"/>
      <c r="J211" s="478"/>
      <c r="K211" s="478"/>
      <c r="L211" s="478"/>
      <c r="M211" s="612"/>
      <c r="N211" s="566"/>
      <c r="O211" s="359"/>
      <c r="P211" s="378"/>
      <c r="Q211" s="368"/>
      <c r="R211" s="359"/>
      <c r="S211" s="618"/>
      <c r="T211" s="566"/>
      <c r="U211" s="359"/>
      <c r="V211" s="378"/>
      <c r="W211" s="357"/>
      <c r="X211" s="357"/>
      <c r="Y211" s="357"/>
      <c r="Z211" s="357"/>
      <c r="AA211" s="357"/>
      <c r="AB211" s="357"/>
      <c r="AC211" s="357"/>
    </row>
    <row r="212" spans="1:29" ht="15.75" customHeight="1">
      <c r="A212" s="793" t="s">
        <v>384</v>
      </c>
      <c r="B212" s="462" t="s">
        <v>374</v>
      </c>
      <c r="C212" s="463"/>
      <c r="D212" s="372"/>
      <c r="E212" s="372"/>
      <c r="F212" s="377"/>
      <c r="G212" s="464">
        <v>10</v>
      </c>
      <c r="H212" s="465">
        <f t="shared" si="23"/>
        <v>300</v>
      </c>
      <c r="I212" s="610"/>
      <c r="J212" s="610"/>
      <c r="K212" s="610"/>
      <c r="L212" s="610"/>
      <c r="M212" s="610"/>
      <c r="N212" s="606"/>
      <c r="O212" s="479"/>
      <c r="P212" s="480"/>
      <c r="Q212" s="562"/>
      <c r="R212" s="479"/>
      <c r="S212" s="617"/>
      <c r="T212" s="606"/>
      <c r="U212" s="479"/>
      <c r="V212" s="635">
        <v>12</v>
      </c>
      <c r="W212" s="357"/>
      <c r="X212" s="357"/>
      <c r="Y212" s="357"/>
      <c r="Z212" s="357"/>
      <c r="AA212" s="357"/>
      <c r="AB212" s="357"/>
      <c r="AC212" s="357"/>
    </row>
    <row r="213" spans="1:29" ht="15.75" customHeight="1">
      <c r="A213" s="794"/>
      <c r="B213" s="631" t="s">
        <v>326</v>
      </c>
      <c r="C213" s="64"/>
      <c r="D213" s="4" t="s">
        <v>350</v>
      </c>
      <c r="E213" s="4"/>
      <c r="F213" s="632"/>
      <c r="G213" s="470">
        <v>3</v>
      </c>
      <c r="H213" s="81">
        <f t="shared" si="23"/>
        <v>90</v>
      </c>
      <c r="I213" s="4">
        <f>SUMPRODUCT(N213:Y213,$N$7:$Y$7)</f>
        <v>32</v>
      </c>
      <c r="J213" s="4">
        <v>16</v>
      </c>
      <c r="K213" s="4">
        <v>16</v>
      </c>
      <c r="L213" s="4"/>
      <c r="M213" s="32">
        <f>H213-I213</f>
        <v>58</v>
      </c>
      <c r="N213" s="566"/>
      <c r="O213" s="359"/>
      <c r="P213" s="378"/>
      <c r="Q213" s="368"/>
      <c r="R213" s="359"/>
      <c r="S213" s="618"/>
      <c r="T213" s="566"/>
      <c r="U213" s="359"/>
      <c r="V213" s="36">
        <v>4</v>
      </c>
      <c r="W213" s="357"/>
      <c r="X213" s="357"/>
      <c r="Y213" s="357"/>
      <c r="Z213" s="357"/>
      <c r="AA213" s="357"/>
      <c r="AB213" s="357"/>
      <c r="AC213" s="357"/>
    </row>
    <row r="214" spans="1:29" ht="15.75" customHeight="1">
      <c r="A214" s="794"/>
      <c r="B214" s="616" t="s">
        <v>41</v>
      </c>
      <c r="C214" s="65"/>
      <c r="D214" s="4" t="s">
        <v>350</v>
      </c>
      <c r="E214" s="7"/>
      <c r="F214" s="410"/>
      <c r="G214" s="470">
        <v>3.5</v>
      </c>
      <c r="H214" s="81">
        <f t="shared" si="23"/>
        <v>105</v>
      </c>
      <c r="I214" s="4">
        <f>SUMPRODUCT(N214:Y214,$N$7:$Y$7)+8</f>
        <v>40</v>
      </c>
      <c r="J214" s="7">
        <v>20</v>
      </c>
      <c r="K214" s="195">
        <v>20</v>
      </c>
      <c r="L214" s="7"/>
      <c r="M214" s="29">
        <f>H214-I214</f>
        <v>65</v>
      </c>
      <c r="N214" s="566"/>
      <c r="O214" s="359"/>
      <c r="P214" s="378"/>
      <c r="Q214" s="368"/>
      <c r="R214" s="359"/>
      <c r="S214" s="618"/>
      <c r="T214" s="566"/>
      <c r="U214" s="359"/>
      <c r="V214" s="651">
        <v>4</v>
      </c>
      <c r="W214" s="357"/>
      <c r="X214" s="357"/>
      <c r="Y214" s="357"/>
      <c r="Z214" s="357"/>
      <c r="AA214" s="357"/>
      <c r="AB214" s="357"/>
      <c r="AC214" s="357"/>
    </row>
    <row r="215" spans="1:29" ht="15.75" customHeight="1">
      <c r="A215" s="794"/>
      <c r="B215" s="468" t="s">
        <v>327</v>
      </c>
      <c r="C215" s="64"/>
      <c r="D215" s="4" t="s">
        <v>350</v>
      </c>
      <c r="E215" s="4"/>
      <c r="F215" s="633"/>
      <c r="G215" s="470">
        <v>3.5</v>
      </c>
      <c r="H215" s="81">
        <f t="shared" si="23"/>
        <v>105</v>
      </c>
      <c r="I215" s="4">
        <f>SUMPRODUCT(N215:Y215,$N$7:$Y$7)+8</f>
        <v>40</v>
      </c>
      <c r="J215" s="4">
        <v>20</v>
      </c>
      <c r="K215" s="195">
        <v>20</v>
      </c>
      <c r="L215" s="4"/>
      <c r="M215" s="32">
        <f>H215-I215</f>
        <v>65</v>
      </c>
      <c r="N215" s="566"/>
      <c r="O215" s="359"/>
      <c r="P215" s="378"/>
      <c r="Q215" s="368"/>
      <c r="R215" s="359"/>
      <c r="S215" s="618"/>
      <c r="T215" s="566"/>
      <c r="U215" s="359"/>
      <c r="V215" s="651">
        <v>4</v>
      </c>
      <c r="W215" s="357"/>
      <c r="X215" s="357"/>
      <c r="Y215" s="357"/>
      <c r="Z215" s="357"/>
      <c r="AA215" s="357"/>
      <c r="AB215" s="357"/>
      <c r="AC215" s="357"/>
    </row>
    <row r="216" spans="1:29" ht="15.75" customHeight="1">
      <c r="A216" s="794"/>
      <c r="B216" s="466" t="s">
        <v>318</v>
      </c>
      <c r="C216" s="81"/>
      <c r="D216" s="4" t="s">
        <v>350</v>
      </c>
      <c r="E216" s="5"/>
      <c r="F216" s="634"/>
      <c r="G216" s="442">
        <v>10</v>
      </c>
      <c r="H216" s="81">
        <f t="shared" si="23"/>
        <v>300</v>
      </c>
      <c r="I216" s="5">
        <f>SUMPRODUCT(N216:Y216,$N$7:$Y$7)</f>
        <v>96</v>
      </c>
      <c r="J216" s="5"/>
      <c r="K216" s="5"/>
      <c r="L216" s="5">
        <v>54</v>
      </c>
      <c r="M216" s="54">
        <f>H216-I216</f>
        <v>204</v>
      </c>
      <c r="N216" s="566"/>
      <c r="O216" s="359"/>
      <c r="P216" s="378"/>
      <c r="Q216" s="368"/>
      <c r="R216" s="359"/>
      <c r="S216" s="618"/>
      <c r="T216" s="566"/>
      <c r="U216" s="359"/>
      <c r="V216" s="80">
        <v>12</v>
      </c>
      <c r="W216" s="357"/>
      <c r="X216" s="357"/>
      <c r="Y216" s="357"/>
      <c r="Z216" s="357"/>
      <c r="AA216" s="357"/>
      <c r="AB216" s="357"/>
      <c r="AC216" s="357"/>
    </row>
    <row r="217" spans="1:29" ht="15.75" customHeight="1" thickBot="1">
      <c r="A217" s="795"/>
      <c r="B217" s="471" t="s">
        <v>303</v>
      </c>
      <c r="C217" s="472"/>
      <c r="D217" s="473"/>
      <c r="E217" s="473"/>
      <c r="F217" s="474"/>
      <c r="G217" s="475">
        <v>3.5</v>
      </c>
      <c r="H217" s="476">
        <f t="shared" si="23"/>
        <v>105</v>
      </c>
      <c r="I217" s="477"/>
      <c r="J217" s="478"/>
      <c r="K217" s="478"/>
      <c r="L217" s="478"/>
      <c r="M217" s="612"/>
      <c r="N217" s="567"/>
      <c r="O217" s="380"/>
      <c r="P217" s="384"/>
      <c r="Q217" s="564"/>
      <c r="R217" s="380"/>
      <c r="S217" s="619"/>
      <c r="T217" s="567"/>
      <c r="U217" s="380"/>
      <c r="V217" s="384"/>
      <c r="W217" s="357"/>
      <c r="X217" s="357"/>
      <c r="Y217" s="357"/>
      <c r="Z217" s="357"/>
      <c r="AA217" s="357"/>
      <c r="AB217" s="357"/>
      <c r="AC217" s="357"/>
    </row>
    <row r="218" spans="1:29" s="349" customFormat="1" ht="16.5" thickBot="1">
      <c r="A218" s="804" t="s">
        <v>328</v>
      </c>
      <c r="B218" s="805"/>
      <c r="C218" s="805"/>
      <c r="D218" s="805"/>
      <c r="E218" s="805"/>
      <c r="F218" s="806"/>
      <c r="G218" s="546">
        <f>SUM(G155,G164,G170,G180,G188,G194,G200,G206,G212)</f>
        <v>58</v>
      </c>
      <c r="H218" s="546">
        <f aca="true" t="shared" si="24" ref="H218:M218">SUM(H170,H180,H200,H206,H212)</f>
        <v>1020</v>
      </c>
      <c r="I218" s="546">
        <f t="shared" si="24"/>
        <v>234</v>
      </c>
      <c r="J218" s="546">
        <f t="shared" si="24"/>
        <v>117</v>
      </c>
      <c r="K218" s="546">
        <f t="shared" si="24"/>
        <v>99</v>
      </c>
      <c r="L218" s="546">
        <f t="shared" si="24"/>
        <v>18</v>
      </c>
      <c r="M218" s="604">
        <f t="shared" si="24"/>
        <v>276</v>
      </c>
      <c r="N218" s="607">
        <f>SUM(N155,N164,N170,N200,N180,N206,N212)</f>
        <v>0</v>
      </c>
      <c r="O218" s="608">
        <f>SUM(O155,O164,O170,O200,O180,O206,O212)</f>
        <v>2</v>
      </c>
      <c r="P218" s="609">
        <f>SUM(P155,P164,P170,P200,P180,P206,P212)</f>
        <v>2</v>
      </c>
      <c r="Q218" s="605">
        <f aca="true" t="shared" si="25" ref="Q218:V218">SUM(Q155,Q164,Q170,Q188,Q194,Q200,Q180,Q206,Q212)</f>
        <v>7</v>
      </c>
      <c r="R218" s="605">
        <f t="shared" si="25"/>
        <v>14</v>
      </c>
      <c r="S218" s="605">
        <f t="shared" si="25"/>
        <v>10</v>
      </c>
      <c r="T218" s="605">
        <f t="shared" si="25"/>
        <v>6</v>
      </c>
      <c r="U218" s="605">
        <f t="shared" si="25"/>
        <v>12</v>
      </c>
      <c r="V218" s="605">
        <f t="shared" si="25"/>
        <v>12</v>
      </c>
      <c r="W218" s="624">
        <f aca="true" t="shared" si="26" ref="W218:AB218">W217</f>
        <v>0</v>
      </c>
      <c r="X218" s="433">
        <f t="shared" si="26"/>
        <v>0</v>
      </c>
      <c r="Y218" s="433">
        <f t="shared" si="26"/>
        <v>0</v>
      </c>
      <c r="Z218" s="433">
        <f t="shared" si="26"/>
        <v>0</v>
      </c>
      <c r="AA218" s="433">
        <f t="shared" si="26"/>
        <v>0</v>
      </c>
      <c r="AB218" s="433">
        <f t="shared" si="26"/>
        <v>0</v>
      </c>
      <c r="AC218" s="418"/>
    </row>
    <row r="219" spans="1:29" s="349" customFormat="1" ht="16.5" thickBot="1">
      <c r="A219" s="820" t="s">
        <v>295</v>
      </c>
      <c r="B219" s="821"/>
      <c r="C219" s="517"/>
      <c r="D219" s="517"/>
      <c r="E219" s="517"/>
      <c r="F219" s="518"/>
      <c r="G219" s="519">
        <f>G182</f>
        <v>0</v>
      </c>
      <c r="H219" s="519"/>
      <c r="I219" s="519"/>
      <c r="J219" s="439"/>
      <c r="K219" s="439"/>
      <c r="L219" s="439"/>
      <c r="M219" s="439"/>
      <c r="N219" s="440"/>
      <c r="O219" s="440"/>
      <c r="P219" s="440"/>
      <c r="Q219" s="440"/>
      <c r="R219" s="440"/>
      <c r="S219" s="622"/>
      <c r="T219" s="625"/>
      <c r="U219" s="440"/>
      <c r="V219" s="441"/>
      <c r="W219" s="418"/>
      <c r="X219" s="418"/>
      <c r="Y219" s="418"/>
      <c r="Z219" s="418"/>
      <c r="AA219" s="418"/>
      <c r="AB219" s="418"/>
      <c r="AC219" s="418"/>
    </row>
    <row r="220" spans="1:29" s="349" customFormat="1" ht="16.5" thickBot="1">
      <c r="A220" s="822" t="s">
        <v>72</v>
      </c>
      <c r="B220" s="823"/>
      <c r="C220" s="8"/>
      <c r="D220" s="8"/>
      <c r="E220" s="8"/>
      <c r="F220" s="30"/>
      <c r="G220" s="556">
        <f>G218-G219</f>
        <v>58</v>
      </c>
      <c r="H220" s="95"/>
      <c r="I220" s="95"/>
      <c r="J220" s="149"/>
      <c r="K220" s="149"/>
      <c r="L220" s="149"/>
      <c r="M220" s="149"/>
      <c r="N220" s="437"/>
      <c r="O220" s="437"/>
      <c r="P220" s="437"/>
      <c r="Q220" s="437"/>
      <c r="R220" s="437"/>
      <c r="S220" s="623"/>
      <c r="T220" s="626"/>
      <c r="U220" s="437"/>
      <c r="V220" s="438"/>
      <c r="W220" s="418"/>
      <c r="X220" s="418"/>
      <c r="Y220" s="418"/>
      <c r="Z220" s="418"/>
      <c r="AA220" s="418"/>
      <c r="AB220" s="418"/>
      <c r="AC220" s="418"/>
    </row>
    <row r="221" spans="1:29" ht="19.5" customHeight="1" thickBot="1">
      <c r="A221" s="838"/>
      <c r="B221" s="83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521">
        <f aca="true" t="shared" si="27" ref="N221:V221">SUM(N61,N140,N218)</f>
        <v>19</v>
      </c>
      <c r="O221" s="521">
        <f t="shared" si="27"/>
        <v>23</v>
      </c>
      <c r="P221" s="521">
        <f t="shared" si="27"/>
        <v>17</v>
      </c>
      <c r="Q221" s="521">
        <f t="shared" si="27"/>
        <v>17</v>
      </c>
      <c r="R221" s="521">
        <f t="shared" si="27"/>
        <v>29</v>
      </c>
      <c r="S221" s="521">
        <f t="shared" si="27"/>
        <v>27</v>
      </c>
      <c r="T221" s="521">
        <f t="shared" si="27"/>
        <v>25</v>
      </c>
      <c r="U221" s="521">
        <f t="shared" si="27"/>
        <v>21</v>
      </c>
      <c r="V221" s="521">
        <f t="shared" si="27"/>
        <v>14</v>
      </c>
      <c r="W221" s="33"/>
      <c r="X221" s="33"/>
      <c r="Y221" s="33"/>
      <c r="Z221" s="33"/>
      <c r="AA221" s="33"/>
      <c r="AB221" s="33"/>
      <c r="AC221" s="95"/>
    </row>
    <row r="222" spans="1:29" ht="15.75" customHeight="1" thickBot="1">
      <c r="A222" s="126"/>
      <c r="B222" s="126" t="s">
        <v>96</v>
      </c>
      <c r="C222" s="58"/>
      <c r="D222" s="58"/>
      <c r="E222" s="58"/>
      <c r="F222" s="58"/>
      <c r="G222" s="131">
        <f>SUM(G59,G138,G147,G152,G218)</f>
        <v>240</v>
      </c>
      <c r="H222" s="131">
        <f>SUM(H59,H138,H147,H152,H218)</f>
        <v>6255</v>
      </c>
      <c r="I222" s="58"/>
      <c r="J222" s="58"/>
      <c r="K222" s="58"/>
      <c r="L222" s="58"/>
      <c r="M222" s="135"/>
      <c r="N222" s="140"/>
      <c r="O222" s="58"/>
      <c r="P222" s="141"/>
      <c r="Q222" s="138"/>
      <c r="R222" s="58"/>
      <c r="S222" s="58"/>
      <c r="T222" s="138"/>
      <c r="U222" s="58"/>
      <c r="V222" s="58"/>
      <c r="W222" s="67"/>
      <c r="X222" s="67"/>
      <c r="Y222" s="67"/>
      <c r="Z222" s="124"/>
      <c r="AA222" s="33"/>
      <c r="AB222" s="67"/>
      <c r="AC222" s="124"/>
    </row>
    <row r="223" spans="1:29" ht="15.75" customHeight="1" thickBot="1">
      <c r="A223" s="126"/>
      <c r="B223" s="126" t="s">
        <v>295</v>
      </c>
      <c r="C223" s="58"/>
      <c r="D223" s="58"/>
      <c r="E223" s="58"/>
      <c r="F223" s="58"/>
      <c r="G223" s="131">
        <f>SUM(G60,G139,G148,G219)</f>
        <v>59.5</v>
      </c>
      <c r="H223" s="131">
        <f>SUM(H60,H139,H148)</f>
        <v>1755</v>
      </c>
      <c r="I223" s="58"/>
      <c r="J223" s="58"/>
      <c r="K223" s="58"/>
      <c r="L223" s="58"/>
      <c r="M223" s="135"/>
      <c r="N223" s="140"/>
      <c r="O223" s="58"/>
      <c r="P223" s="141"/>
      <c r="Q223" s="138"/>
      <c r="R223" s="58"/>
      <c r="S223" s="58"/>
      <c r="T223" s="138"/>
      <c r="U223" s="58"/>
      <c r="V223" s="58"/>
      <c r="W223" s="67"/>
      <c r="X223" s="67"/>
      <c r="Y223" s="67"/>
      <c r="Z223" s="124"/>
      <c r="AA223" s="33"/>
      <c r="AB223" s="67"/>
      <c r="AC223" s="124"/>
    </row>
    <row r="224" spans="1:46" ht="15.75" customHeight="1" thickBot="1">
      <c r="A224" s="126"/>
      <c r="B224" s="126" t="s">
        <v>72</v>
      </c>
      <c r="C224" s="58"/>
      <c r="D224" s="58"/>
      <c r="E224" s="58"/>
      <c r="F224" s="58"/>
      <c r="G224" s="131">
        <f>SUM(G61,G140,G149,G151,G220)</f>
        <v>180.5</v>
      </c>
      <c r="H224" s="131">
        <f>SUM(H61,H140,H149,H151,H218)</f>
        <v>3915</v>
      </c>
      <c r="I224" s="58"/>
      <c r="J224" s="58"/>
      <c r="K224" s="58"/>
      <c r="L224" s="58"/>
      <c r="M224" s="135"/>
      <c r="N224" s="140"/>
      <c r="O224" s="58"/>
      <c r="P224" s="141"/>
      <c r="Q224" s="138"/>
      <c r="R224" s="58"/>
      <c r="S224" s="58"/>
      <c r="T224" s="138"/>
      <c r="U224" s="58"/>
      <c r="V224" s="58"/>
      <c r="W224" s="67"/>
      <c r="X224" s="67"/>
      <c r="Y224" s="67"/>
      <c r="Z224" s="124"/>
      <c r="AA224" s="33"/>
      <c r="AB224" s="67"/>
      <c r="AC224" s="124"/>
      <c r="AN224" s="351"/>
      <c r="AO224" s="510">
        <v>1</v>
      </c>
      <c r="AP224" s="510" t="s">
        <v>258</v>
      </c>
      <c r="AQ224" s="510" t="s">
        <v>259</v>
      </c>
      <c r="AR224" s="510">
        <v>3</v>
      </c>
      <c r="AS224" s="510" t="s">
        <v>260</v>
      </c>
      <c r="AT224" s="510" t="s">
        <v>261</v>
      </c>
    </row>
    <row r="225" spans="1:46" ht="17.25" customHeight="1" thickBot="1">
      <c r="A225" s="807" t="s">
        <v>1</v>
      </c>
      <c r="B225" s="808"/>
      <c r="C225" s="808"/>
      <c r="D225" s="808"/>
      <c r="E225" s="808"/>
      <c r="F225" s="808"/>
      <c r="G225" s="808"/>
      <c r="H225" s="808"/>
      <c r="I225" s="808"/>
      <c r="J225" s="808"/>
      <c r="K225" s="808"/>
      <c r="L225" s="808"/>
      <c r="M225" s="808"/>
      <c r="N225" s="522">
        <f aca="true" t="shared" si="28" ref="N225:V225">N221</f>
        <v>19</v>
      </c>
      <c r="O225" s="522">
        <f t="shared" si="28"/>
        <v>23</v>
      </c>
      <c r="P225" s="522">
        <f t="shared" si="28"/>
        <v>17</v>
      </c>
      <c r="Q225" s="522">
        <f>Q221</f>
        <v>17</v>
      </c>
      <c r="R225" s="522">
        <f>R221</f>
        <v>29</v>
      </c>
      <c r="S225" s="522">
        <f>S221</f>
        <v>27</v>
      </c>
      <c r="T225" s="522">
        <f t="shared" si="28"/>
        <v>25</v>
      </c>
      <c r="U225" s="522">
        <f t="shared" si="28"/>
        <v>21</v>
      </c>
      <c r="V225" s="522">
        <f t="shared" si="28"/>
        <v>14</v>
      </c>
      <c r="W225" s="84" t="e">
        <f>SUM(#REF!,W61,#REF!,W140,#REF!,#REF!,#REF!)</f>
        <v>#REF!</v>
      </c>
      <c r="X225" s="84" t="e">
        <f>SUM(#REF!,X61,#REF!,X140,#REF!,#REF!,#REF!)</f>
        <v>#REF!</v>
      </c>
      <c r="Y225" s="84" t="e">
        <f>SUM(#REF!,Y61,#REF!,Y140,#REF!,#REF!,#REF!)</f>
        <v>#REF!</v>
      </c>
      <c r="Z225" s="84" t="e">
        <f>SUM(#REF!,Z61,#REF!,Z140,#REF!,#REF!,#REF!)</f>
        <v>#REF!</v>
      </c>
      <c r="AA225" s="84" t="e">
        <f>SUM(#REF!,AA61,#REF!,AA140,#REF!,#REF!,#REF!)</f>
        <v>#REF!</v>
      </c>
      <c r="AB225" s="84" t="e">
        <f>SUM(#REF!,AB61,#REF!,AB140,#REF!,#REF!,#REF!)</f>
        <v>#REF!</v>
      </c>
      <c r="AC225" s="84" t="e">
        <f>SUM(#REF!,AC61,#REF!,AC140,#REF!,#REF!,#REF!)</f>
        <v>#REF!</v>
      </c>
      <c r="AN225" s="351" t="s">
        <v>265</v>
      </c>
      <c r="AO225" s="351" t="e">
        <f>AO10+AO29+AO66+#REF!</f>
        <v>#REF!</v>
      </c>
      <c r="AP225" s="351" t="e">
        <f>AP10+AP29+AP66+#REF!</f>
        <v>#REF!</v>
      </c>
      <c r="AQ225" s="351" t="e">
        <f>AQ10+AQ29+AQ66+#REF!</f>
        <v>#REF!</v>
      </c>
      <c r="AR225" s="351" t="e">
        <f>AR10+AR29+AR66+#REF!</f>
        <v>#REF!</v>
      </c>
      <c r="AS225" s="351" t="e">
        <f>AS10+AS29+AS66+#REF!</f>
        <v>#REF!</v>
      </c>
      <c r="AT225" s="351" t="e">
        <f>AT10+AT29+AT66+#REF!</f>
        <v>#REF!</v>
      </c>
    </row>
    <row r="226" spans="1:46" ht="17.25" customHeight="1" thickBot="1">
      <c r="A226" s="809" t="s">
        <v>9</v>
      </c>
      <c r="B226" s="810"/>
      <c r="C226" s="810"/>
      <c r="D226" s="810"/>
      <c r="E226" s="810"/>
      <c r="F226" s="810"/>
      <c r="G226" s="810"/>
      <c r="H226" s="810"/>
      <c r="I226" s="810"/>
      <c r="J226" s="810"/>
      <c r="K226" s="810"/>
      <c r="L226" s="810"/>
      <c r="M226" s="810"/>
      <c r="N226" s="22"/>
      <c r="O226" s="23"/>
      <c r="P226" s="42"/>
      <c r="Q226" s="523">
        <v>1</v>
      </c>
      <c r="R226" s="523"/>
      <c r="S226" s="523">
        <v>1</v>
      </c>
      <c r="T226" s="523">
        <v>1</v>
      </c>
      <c r="U226" s="523">
        <v>1</v>
      </c>
      <c r="V226" s="523"/>
      <c r="W226" s="22"/>
      <c r="X226" s="23"/>
      <c r="Y226" s="23"/>
      <c r="Z226" s="48"/>
      <c r="AA226" s="22"/>
      <c r="AB226" s="23"/>
      <c r="AC226" s="42"/>
      <c r="AF226" s="349" t="s">
        <v>107</v>
      </c>
      <c r="AG226" s="348">
        <f>AE30+AE139</f>
        <v>38.5</v>
      </c>
      <c r="AN226" s="192" t="s">
        <v>266</v>
      </c>
      <c r="AO226" s="351" t="e">
        <f>AO11+AO30+AO67+#REF!</f>
        <v>#REF!</v>
      </c>
      <c r="AP226" s="351" t="e">
        <f>AP11+AP30+AP67+#REF!+1</f>
        <v>#REF!</v>
      </c>
      <c r="AQ226" s="351" t="e">
        <f>AQ11+AQ30+AQ67+#REF!</f>
        <v>#REF!</v>
      </c>
      <c r="AR226" s="351" t="e">
        <f>AR11+AR30+AR67+#REF!</f>
        <v>#REF!</v>
      </c>
      <c r="AS226" s="351" t="e">
        <f>AS11+AS30+AS67+#REF!</f>
        <v>#REF!</v>
      </c>
      <c r="AT226" s="351" t="e">
        <f>AT11+AT30+AT67+#REF!+1</f>
        <v>#REF!</v>
      </c>
    </row>
    <row r="227" spans="1:46" ht="17.25" customHeight="1" thickBot="1">
      <c r="A227" s="809" t="s">
        <v>2</v>
      </c>
      <c r="B227" s="810"/>
      <c r="C227" s="810"/>
      <c r="D227" s="810"/>
      <c r="E227" s="810"/>
      <c r="F227" s="810"/>
      <c r="G227" s="810"/>
      <c r="H227" s="810"/>
      <c r="I227" s="810"/>
      <c r="J227" s="810"/>
      <c r="K227" s="810"/>
      <c r="L227" s="810"/>
      <c r="M227" s="810"/>
      <c r="N227" s="22">
        <f>COUNTIF($C11:$C137,"1")</f>
        <v>3</v>
      </c>
      <c r="O227" s="524">
        <f>COUNTIF($C11:$C137,"2а")</f>
        <v>2</v>
      </c>
      <c r="P227" s="524">
        <f>COUNTIF($C11:$C137,"2б")</f>
        <v>2</v>
      </c>
      <c r="Q227" s="524">
        <f>COUNTIF($C11:$C137,"3")</f>
        <v>0</v>
      </c>
      <c r="R227" s="540">
        <f>COUNTIF($C11:$C137,"4а")</f>
        <v>0</v>
      </c>
      <c r="S227" s="524">
        <f>COUNTIF($C11:$C137,"4б")</f>
        <v>3</v>
      </c>
      <c r="T227" s="524">
        <f>COUNTIF($C11:$C137,"5")</f>
        <v>4</v>
      </c>
      <c r="U227" s="540">
        <f>COUNTIF($C11:$C137,"6а")</f>
        <v>1</v>
      </c>
      <c r="V227" s="524">
        <f>COUNTIF($C11:$C137,"6б")</f>
        <v>0</v>
      </c>
      <c r="W227" s="22"/>
      <c r="X227" s="23"/>
      <c r="Y227" s="23"/>
      <c r="Z227" s="48"/>
      <c r="AA227" s="22"/>
      <c r="AB227" s="23"/>
      <c r="AC227" s="42"/>
      <c r="AF227" s="349" t="s">
        <v>108</v>
      </c>
      <c r="AG227" s="347">
        <f>AE15+AE31+AE140</f>
        <v>20.5</v>
      </c>
      <c r="AN227" s="192" t="s">
        <v>267</v>
      </c>
      <c r="AO227" s="351" t="e">
        <f>AO12+AO31+AO68+#REF!</f>
        <v>#REF!</v>
      </c>
      <c r="AP227" s="351" t="e">
        <f>AP12+AP31+AP68+#REF!</f>
        <v>#REF!</v>
      </c>
      <c r="AQ227" s="351" t="e">
        <f>AQ12+AQ31+AQ68+#REF!</f>
        <v>#REF!</v>
      </c>
      <c r="AR227" s="351" t="e">
        <f>AR12+AR31+AR68+#REF!</f>
        <v>#REF!</v>
      </c>
      <c r="AS227" s="351" t="e">
        <f>AS12+AS31+AS68+#REF!</f>
        <v>#REF!</v>
      </c>
      <c r="AT227" s="351" t="e">
        <f>AT12+AT31+AT68+#REF!</f>
        <v>#REF!</v>
      </c>
    </row>
    <row r="228" spans="1:46" ht="17.25" customHeight="1" thickBot="1">
      <c r="A228" s="809" t="s">
        <v>0</v>
      </c>
      <c r="B228" s="810"/>
      <c r="C228" s="810"/>
      <c r="D228" s="810"/>
      <c r="E228" s="810"/>
      <c r="F228" s="810"/>
      <c r="G228" s="810"/>
      <c r="H228" s="810"/>
      <c r="I228" s="810"/>
      <c r="J228" s="810"/>
      <c r="K228" s="810"/>
      <c r="L228" s="810"/>
      <c r="M228" s="810"/>
      <c r="N228" s="524">
        <f>COUNTIF($D11:$D137,"1")</f>
        <v>4</v>
      </c>
      <c r="O228" s="524">
        <f>COUNTIF($D11:$D137,"2а")</f>
        <v>4</v>
      </c>
      <c r="P228" s="524">
        <f>COUNTIF($D11:$D137,"2б")</f>
        <v>2</v>
      </c>
      <c r="Q228" s="524">
        <f>COUNTIF($D11:$D137,"3")+3</f>
        <v>7</v>
      </c>
      <c r="R228" s="524">
        <f>COUNTIF($D11:$D137,"4а")+5</f>
        <v>8</v>
      </c>
      <c r="S228" s="524">
        <f>COUNTIF($D11:$D137,"4б")+3</f>
        <v>4</v>
      </c>
      <c r="T228" s="524">
        <f>COUNTIF($D11:$D137,"5")</f>
        <v>2</v>
      </c>
      <c r="U228" s="524">
        <f>COUNTIF($D11:$D137,"6а")+5</f>
        <v>5</v>
      </c>
      <c r="V228" s="524">
        <f>COUNTIF($D11:$D137,"6б")+3</f>
        <v>4</v>
      </c>
      <c r="W228" s="85"/>
      <c r="X228" s="86"/>
      <c r="Y228" s="86"/>
      <c r="Z228" s="71"/>
      <c r="AA228" s="85"/>
      <c r="AB228" s="86"/>
      <c r="AC228" s="87"/>
      <c r="AN228" s="192" t="s">
        <v>268</v>
      </c>
      <c r="AO228" s="351" t="e">
        <f>#REF!+AO32+AO69+#REF!</f>
        <v>#REF!</v>
      </c>
      <c r="AP228" s="351" t="e">
        <f>#REF!+AP32+AP69+#REF!</f>
        <v>#REF!</v>
      </c>
      <c r="AQ228" s="351" t="e">
        <f>#REF!+AQ32+AQ69+#REF!</f>
        <v>#REF!</v>
      </c>
      <c r="AR228" s="351" t="e">
        <f>#REF!+AR32+AR69+#REF!</f>
        <v>#REF!</v>
      </c>
      <c r="AS228" s="351" t="e">
        <f>#REF!+AS32+AS69+#REF!</f>
        <v>#REF!</v>
      </c>
      <c r="AT228" s="351" t="e">
        <f>#REF!+AT32+AT69+#REF!</f>
        <v>#REF!</v>
      </c>
    </row>
    <row r="229" spans="2:23" ht="18.75" customHeight="1">
      <c r="B229" s="525"/>
      <c r="C229" s="525"/>
      <c r="D229" s="525"/>
      <c r="E229" s="525"/>
      <c r="F229" s="525"/>
      <c r="G229" s="526"/>
      <c r="H229" s="24"/>
      <c r="I229" s="24"/>
      <c r="J229" s="24"/>
      <c r="K229" s="24"/>
      <c r="L229" s="24"/>
      <c r="N229" s="878">
        <f>SUM(G17,G21,G27,G28,G31,G34:G35,G38,G41,G44:G46,G47,G52,G55,G58,G65,G76,G108:G110,G144,G155)</f>
        <v>60.5</v>
      </c>
      <c r="O229" s="879"/>
      <c r="P229" s="880"/>
      <c r="Q229" s="878">
        <f>SUM(G68,G71,G79,G82,G83,G84,G94:G96,G105,G114,G115,G122,G131,G164,G170,G180,G188,G194)+1</f>
        <v>60</v>
      </c>
      <c r="R229" s="879"/>
      <c r="S229" s="880"/>
      <c r="T229" s="878">
        <f>SUM(G13,G87,G90,G91,G97,G100,G118:G119,G125,G128,G145,G151,G200,G206,G212)</f>
        <v>60</v>
      </c>
      <c r="U229" s="879"/>
      <c r="V229" s="880"/>
      <c r="W229" s="1"/>
    </row>
    <row r="230" spans="2:23" ht="22.5" customHeight="1">
      <c r="B230" s="525"/>
      <c r="C230" s="525"/>
      <c r="D230" s="525"/>
      <c r="E230" s="525"/>
      <c r="F230" s="525"/>
      <c r="G230" s="526"/>
      <c r="H230" s="24"/>
      <c r="I230" s="24"/>
      <c r="J230" s="24"/>
      <c r="K230" s="24"/>
      <c r="L230" s="24"/>
      <c r="N230" s="876">
        <f>N229+Q229+T229</f>
        <v>180.5</v>
      </c>
      <c r="O230" s="877"/>
      <c r="P230" s="877"/>
      <c r="Q230" s="877"/>
      <c r="R230" s="877"/>
      <c r="S230" s="877"/>
      <c r="T230" s="877"/>
      <c r="U230" s="877"/>
      <c r="V230" s="877"/>
      <c r="W230" s="1"/>
    </row>
    <row r="231" spans="2:29" ht="19.5" thickBot="1">
      <c r="B231" s="525"/>
      <c r="C231" s="525"/>
      <c r="D231" s="525"/>
      <c r="E231" s="525"/>
      <c r="F231" s="525"/>
      <c r="G231" s="526"/>
      <c r="H231" s="24"/>
      <c r="I231" s="24"/>
      <c r="J231" s="24"/>
      <c r="K231" s="24"/>
      <c r="L231" s="2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2" s="443" customFormat="1" ht="19.5" customHeight="1">
      <c r="A232" s="796" t="s">
        <v>316</v>
      </c>
      <c r="B232" s="797"/>
      <c r="C232" s="797"/>
      <c r="D232" s="797"/>
      <c r="E232" s="797"/>
      <c r="F232" s="797"/>
      <c r="G232" s="797"/>
      <c r="H232" s="797"/>
      <c r="I232" s="797"/>
      <c r="J232" s="797"/>
      <c r="K232" s="797"/>
      <c r="L232" s="797"/>
      <c r="M232" s="797"/>
      <c r="N232" s="797"/>
      <c r="O232" s="797"/>
      <c r="P232" s="797"/>
      <c r="Q232" s="797"/>
      <c r="R232" s="797"/>
      <c r="S232" s="797"/>
      <c r="T232" s="797"/>
      <c r="U232" s="797"/>
      <c r="V232" s="798"/>
    </row>
    <row r="233" spans="1:37" s="143" customFormat="1" ht="15.75">
      <c r="A233" s="569">
        <v>1</v>
      </c>
      <c r="B233" s="570" t="s">
        <v>5</v>
      </c>
      <c r="C233" s="571"/>
      <c r="D233" s="571"/>
      <c r="E233" s="571"/>
      <c r="F233" s="571"/>
      <c r="G233" s="572">
        <f aca="true" t="shared" si="29" ref="G233:M233">G234+G235</f>
        <v>13.5</v>
      </c>
      <c r="H233" s="569">
        <f t="shared" si="29"/>
        <v>405</v>
      </c>
      <c r="I233" s="569">
        <f t="shared" si="29"/>
        <v>264</v>
      </c>
      <c r="J233" s="569">
        <f t="shared" si="29"/>
        <v>4</v>
      </c>
      <c r="K233" s="569">
        <f t="shared" si="29"/>
        <v>0</v>
      </c>
      <c r="L233" s="569">
        <f t="shared" si="29"/>
        <v>260</v>
      </c>
      <c r="M233" s="569">
        <f t="shared" si="29"/>
        <v>141</v>
      </c>
      <c r="N233" s="572"/>
      <c r="O233" s="572"/>
      <c r="P233" s="573"/>
      <c r="Q233" s="572"/>
      <c r="R233" s="572"/>
      <c r="S233" s="572"/>
      <c r="T233" s="572"/>
      <c r="U233" s="572"/>
      <c r="V233" s="573"/>
      <c r="W233" s="443"/>
      <c r="X233" s="443"/>
      <c r="Z233" s="574"/>
      <c r="AA233" s="574"/>
      <c r="AB233" s="574"/>
      <c r="AC233" s="574"/>
      <c r="AD233" s="574"/>
      <c r="AE233" s="574"/>
      <c r="AF233" s="574"/>
      <c r="AG233" s="574"/>
      <c r="AH233" s="574"/>
      <c r="AI233" s="574"/>
      <c r="AJ233" s="574"/>
      <c r="AK233" s="574"/>
    </row>
    <row r="234" spans="1:37" s="143" customFormat="1" ht="16.5" customHeight="1">
      <c r="A234" s="575" t="s">
        <v>364</v>
      </c>
      <c r="B234" s="576" t="s">
        <v>5</v>
      </c>
      <c r="C234" s="577"/>
      <c r="D234" s="403" t="s">
        <v>365</v>
      </c>
      <c r="E234" s="578"/>
      <c r="F234" s="579"/>
      <c r="G234" s="639">
        <v>6.5</v>
      </c>
      <c r="H234" s="580">
        <f>G234*30</f>
        <v>195</v>
      </c>
      <c r="I234" s="581">
        <f>L234+J234</f>
        <v>132</v>
      </c>
      <c r="J234" s="578">
        <v>4</v>
      </c>
      <c r="K234" s="578"/>
      <c r="L234" s="578">
        <v>128</v>
      </c>
      <c r="M234" s="582">
        <f>H234-I234</f>
        <v>63</v>
      </c>
      <c r="N234" s="581">
        <v>4</v>
      </c>
      <c r="O234" s="583">
        <v>4</v>
      </c>
      <c r="P234" s="579">
        <v>4</v>
      </c>
      <c r="Q234" s="581"/>
      <c r="R234" s="583"/>
      <c r="S234" s="579"/>
      <c r="T234" s="581"/>
      <c r="U234" s="583"/>
      <c r="V234" s="579"/>
      <c r="W234" s="443"/>
      <c r="X234" s="443"/>
      <c r="Z234" s="574"/>
      <c r="AA234" s="574"/>
      <c r="AB234" s="574"/>
      <c r="AC234" s="574"/>
      <c r="AD234" s="574"/>
      <c r="AE234" s="574"/>
      <c r="AF234" s="574"/>
      <c r="AG234" s="574"/>
      <c r="AH234" s="574"/>
      <c r="AI234" s="574"/>
      <c r="AJ234" s="574"/>
      <c r="AK234" s="574"/>
    </row>
    <row r="235" spans="1:37" s="143" customFormat="1" ht="15.75">
      <c r="A235" s="575" t="s">
        <v>366</v>
      </c>
      <c r="B235" s="576" t="s">
        <v>5</v>
      </c>
      <c r="C235" s="577"/>
      <c r="D235" s="640" t="s">
        <v>367</v>
      </c>
      <c r="E235" s="578"/>
      <c r="F235" s="579"/>
      <c r="G235" s="641">
        <v>7</v>
      </c>
      <c r="H235" s="580">
        <f>G235*30</f>
        <v>210</v>
      </c>
      <c r="I235" s="581">
        <f>L235+J235</f>
        <v>132</v>
      </c>
      <c r="J235" s="578"/>
      <c r="K235" s="578"/>
      <c r="L235" s="578">
        <v>132</v>
      </c>
      <c r="M235" s="582">
        <f>H235-I235</f>
        <v>78</v>
      </c>
      <c r="N235" s="581"/>
      <c r="O235" s="583"/>
      <c r="P235" s="579"/>
      <c r="Q235" s="581">
        <v>4</v>
      </c>
      <c r="R235" s="583">
        <v>4</v>
      </c>
      <c r="S235" s="579">
        <v>4</v>
      </c>
      <c r="T235" s="581"/>
      <c r="U235" s="583"/>
      <c r="V235" s="579"/>
      <c r="W235" s="443"/>
      <c r="X235" s="443"/>
      <c r="Z235" s="574"/>
      <c r="AA235" s="574"/>
      <c r="AB235" s="574"/>
      <c r="AC235" s="574"/>
      <c r="AD235" s="574"/>
      <c r="AE235" s="574"/>
      <c r="AF235" s="574"/>
      <c r="AG235" s="574"/>
      <c r="AH235" s="574"/>
      <c r="AI235" s="574"/>
      <c r="AJ235" s="574"/>
      <c r="AK235" s="574"/>
    </row>
    <row r="236" spans="1:37" s="143" customFormat="1" ht="25.5">
      <c r="A236" s="575" t="s">
        <v>368</v>
      </c>
      <c r="B236" s="584" t="s">
        <v>5</v>
      </c>
      <c r="C236" s="585"/>
      <c r="D236" s="642" t="s">
        <v>369</v>
      </c>
      <c r="E236" s="586"/>
      <c r="F236" s="586"/>
      <c r="G236" s="587"/>
      <c r="H236" s="586"/>
      <c r="I236" s="586"/>
      <c r="J236" s="586"/>
      <c r="K236" s="586"/>
      <c r="L236" s="586"/>
      <c r="M236" s="586"/>
      <c r="N236" s="586"/>
      <c r="O236" s="586"/>
      <c r="P236" s="586"/>
      <c r="Q236" s="586"/>
      <c r="R236" s="586"/>
      <c r="S236" s="586"/>
      <c r="T236" s="586" t="s">
        <v>39</v>
      </c>
      <c r="U236" s="586" t="s">
        <v>39</v>
      </c>
      <c r="V236" s="586" t="s">
        <v>39</v>
      </c>
      <c r="W236" s="443"/>
      <c r="X236" s="443"/>
      <c r="Z236" s="574"/>
      <c r="AA236" s="574"/>
      <c r="AB236" s="574"/>
      <c r="AC236" s="574"/>
      <c r="AD236" s="574"/>
      <c r="AE236" s="574"/>
      <c r="AF236" s="574"/>
      <c r="AG236" s="574"/>
      <c r="AH236" s="574"/>
      <c r="AI236" s="574"/>
      <c r="AJ236" s="574"/>
      <c r="AK236" s="574"/>
    </row>
    <row r="237" spans="1:37" s="143" customFormat="1" ht="15.75">
      <c r="A237" s="588" t="s">
        <v>370</v>
      </c>
      <c r="B237" s="589"/>
      <c r="C237" s="588"/>
      <c r="D237" s="588"/>
      <c r="E237" s="590"/>
      <c r="F237" s="588"/>
      <c r="G237" s="588"/>
      <c r="H237" s="588"/>
      <c r="I237" s="588"/>
      <c r="J237" s="588"/>
      <c r="K237" s="588"/>
      <c r="L237" s="588"/>
      <c r="M237" s="588"/>
      <c r="N237" s="588"/>
      <c r="O237" s="588"/>
      <c r="P237" s="588"/>
      <c r="Q237" s="588"/>
      <c r="R237" s="588"/>
      <c r="S237" s="588"/>
      <c r="T237" s="591"/>
      <c r="U237" s="588"/>
      <c r="V237" s="588"/>
      <c r="W237" s="443"/>
      <c r="X237" s="443"/>
      <c r="Z237" s="574"/>
      <c r="AA237" s="574"/>
      <c r="AB237" s="574"/>
      <c r="AC237" s="574"/>
      <c r="AD237" s="574"/>
      <c r="AE237" s="574"/>
      <c r="AF237" s="574"/>
      <c r="AG237" s="574"/>
      <c r="AH237" s="574"/>
      <c r="AI237" s="574"/>
      <c r="AJ237" s="574"/>
      <c r="AK237" s="574"/>
    </row>
    <row r="238" spans="1:37" s="143" customFormat="1" ht="31.5">
      <c r="A238" s="592" t="s">
        <v>371</v>
      </c>
      <c r="B238" s="593" t="s">
        <v>329</v>
      </c>
      <c r="C238" s="58"/>
      <c r="D238" s="527"/>
      <c r="E238" s="528"/>
      <c r="F238" s="529"/>
      <c r="G238" s="530">
        <f aca="true" t="shared" si="30" ref="G238:M238">SUM(G239:G242)</f>
        <v>18</v>
      </c>
      <c r="H238" s="530">
        <f t="shared" si="30"/>
        <v>540</v>
      </c>
      <c r="I238" s="530">
        <f t="shared" si="30"/>
        <v>294</v>
      </c>
      <c r="J238" s="530">
        <f t="shared" si="30"/>
        <v>0</v>
      </c>
      <c r="K238" s="530">
        <f t="shared" si="30"/>
        <v>0</v>
      </c>
      <c r="L238" s="530">
        <f t="shared" si="30"/>
        <v>294</v>
      </c>
      <c r="M238" s="530">
        <f t="shared" si="30"/>
        <v>246</v>
      </c>
      <c r="N238" s="594"/>
      <c r="O238" s="594"/>
      <c r="P238" s="594"/>
      <c r="Q238" s="594"/>
      <c r="R238" s="594"/>
      <c r="S238" s="594"/>
      <c r="T238" s="595"/>
      <c r="U238" s="595"/>
      <c r="V238" s="595"/>
      <c r="W238" s="443"/>
      <c r="X238" s="443"/>
      <c r="Z238" s="574"/>
      <c r="AA238" s="574"/>
      <c r="AB238" s="574"/>
      <c r="AC238" s="574"/>
      <c r="AD238" s="574"/>
      <c r="AE238" s="574"/>
      <c r="AF238" s="574"/>
      <c r="AG238" s="574"/>
      <c r="AH238" s="574"/>
      <c r="AI238" s="574"/>
      <c r="AJ238" s="574"/>
      <c r="AK238" s="574"/>
    </row>
    <row r="239" spans="1:37" s="143" customFormat="1" ht="15.75">
      <c r="A239" s="596"/>
      <c r="B239" s="597" t="s">
        <v>330</v>
      </c>
      <c r="C239" s="598">
        <v>2</v>
      </c>
      <c r="D239" s="598">
        <v>1</v>
      </c>
      <c r="E239" s="528"/>
      <c r="F239" s="529"/>
      <c r="G239" s="488">
        <v>6</v>
      </c>
      <c r="H239" s="4">
        <f>G239*30</f>
        <v>180</v>
      </c>
      <c r="I239" s="599">
        <f>J239+K239+L239</f>
        <v>99</v>
      </c>
      <c r="J239" s="4"/>
      <c r="K239" s="4"/>
      <c r="L239" s="4">
        <v>99</v>
      </c>
      <c r="M239" s="600">
        <f>H239-I239</f>
        <v>81</v>
      </c>
      <c r="N239" s="594">
        <v>3</v>
      </c>
      <c r="O239" s="594">
        <v>3</v>
      </c>
      <c r="P239" s="594">
        <v>3</v>
      </c>
      <c r="Q239" s="594"/>
      <c r="R239" s="594"/>
      <c r="S239" s="594"/>
      <c r="T239" s="595"/>
      <c r="U239" s="595"/>
      <c r="V239" s="595"/>
      <c r="W239" s="443"/>
      <c r="X239" s="443"/>
      <c r="Z239" s="574"/>
      <c r="AA239" s="574"/>
      <c r="AB239" s="574"/>
      <c r="AC239" s="574"/>
      <c r="AD239" s="574"/>
      <c r="AE239" s="574"/>
      <c r="AF239" s="574"/>
      <c r="AG239" s="574"/>
      <c r="AH239" s="574"/>
      <c r="AI239" s="574"/>
      <c r="AJ239" s="574"/>
      <c r="AK239" s="574"/>
    </row>
    <row r="240" spans="1:37" s="143" customFormat="1" ht="15.75">
      <c r="A240" s="596"/>
      <c r="B240" s="597" t="s">
        <v>330</v>
      </c>
      <c r="C240" s="598">
        <v>4</v>
      </c>
      <c r="D240" s="598">
        <v>3</v>
      </c>
      <c r="E240" s="528"/>
      <c r="F240" s="529"/>
      <c r="G240" s="488">
        <v>6</v>
      </c>
      <c r="H240" s="4">
        <f>G240*30</f>
        <v>180</v>
      </c>
      <c r="I240" s="599">
        <f>J240+K240+L240</f>
        <v>99</v>
      </c>
      <c r="J240" s="4"/>
      <c r="K240" s="4"/>
      <c r="L240" s="4">
        <v>99</v>
      </c>
      <c r="M240" s="600">
        <f>H240-I240</f>
        <v>81</v>
      </c>
      <c r="N240" s="594"/>
      <c r="O240" s="594"/>
      <c r="P240" s="594"/>
      <c r="Q240" s="594">
        <v>3</v>
      </c>
      <c r="R240" s="594">
        <v>3</v>
      </c>
      <c r="S240" s="594">
        <v>3</v>
      </c>
      <c r="T240" s="595"/>
      <c r="U240" s="595"/>
      <c r="V240" s="595"/>
      <c r="W240" s="443"/>
      <c r="X240" s="443"/>
      <c r="Z240" s="574"/>
      <c r="AA240" s="574"/>
      <c r="AB240" s="574"/>
      <c r="AC240" s="574"/>
      <c r="AD240" s="574"/>
      <c r="AE240" s="574"/>
      <c r="AF240" s="574"/>
      <c r="AG240" s="574"/>
      <c r="AH240" s="574"/>
      <c r="AI240" s="574"/>
      <c r="AJ240" s="574"/>
      <c r="AK240" s="574"/>
    </row>
    <row r="241" spans="1:37" s="143" customFormat="1" ht="15.75">
      <c r="A241" s="596"/>
      <c r="B241" s="597" t="s">
        <v>330</v>
      </c>
      <c r="C241" s="598">
        <v>6</v>
      </c>
      <c r="D241" s="598">
        <v>5</v>
      </c>
      <c r="E241" s="528"/>
      <c r="F241" s="529"/>
      <c r="G241" s="488">
        <v>4</v>
      </c>
      <c r="H241" s="4">
        <f>G241*30</f>
        <v>120</v>
      </c>
      <c r="I241" s="599">
        <f>J241+K241+L241</f>
        <v>66</v>
      </c>
      <c r="J241" s="4"/>
      <c r="K241" s="4"/>
      <c r="L241" s="4">
        <v>66</v>
      </c>
      <c r="M241" s="600">
        <f>H241-I241</f>
        <v>54</v>
      </c>
      <c r="N241" s="594"/>
      <c r="O241" s="594"/>
      <c r="P241" s="594"/>
      <c r="Q241" s="594"/>
      <c r="R241" s="594"/>
      <c r="S241" s="594"/>
      <c r="T241" s="595">
        <v>2</v>
      </c>
      <c r="U241" s="595">
        <v>2</v>
      </c>
      <c r="V241" s="595">
        <v>2</v>
      </c>
      <c r="W241" s="443"/>
      <c r="X241" s="443"/>
      <c r="Z241" s="574"/>
      <c r="AA241" s="574"/>
      <c r="AB241" s="574"/>
      <c r="AC241" s="574"/>
      <c r="AD241" s="574"/>
      <c r="AE241" s="574"/>
      <c r="AF241" s="574"/>
      <c r="AG241" s="574"/>
      <c r="AH241" s="574"/>
      <c r="AI241" s="574"/>
      <c r="AJ241" s="574"/>
      <c r="AK241" s="574"/>
    </row>
    <row r="242" spans="1:37" s="143" customFormat="1" ht="15.75">
      <c r="A242" s="596"/>
      <c r="B242" s="597" t="s">
        <v>330</v>
      </c>
      <c r="C242" s="598">
        <v>7</v>
      </c>
      <c r="D242" s="598"/>
      <c r="E242" s="528"/>
      <c r="F242" s="529"/>
      <c r="G242" s="488">
        <v>2</v>
      </c>
      <c r="H242" s="4">
        <f>G242*30</f>
        <v>60</v>
      </c>
      <c r="I242" s="599">
        <f>J242+K242+L242</f>
        <v>30</v>
      </c>
      <c r="J242" s="4"/>
      <c r="K242" s="4"/>
      <c r="L242" s="4">
        <v>30</v>
      </c>
      <c r="M242" s="600">
        <f>H242-I242</f>
        <v>30</v>
      </c>
      <c r="N242" s="594"/>
      <c r="O242" s="594"/>
      <c r="P242" s="594"/>
      <c r="Q242" s="594"/>
      <c r="R242" s="594"/>
      <c r="S242" s="594"/>
      <c r="T242" s="595"/>
      <c r="U242" s="595"/>
      <c r="V242" s="595"/>
      <c r="W242" s="443"/>
      <c r="X242" s="443"/>
      <c r="Z242" s="574"/>
      <c r="AA242" s="574"/>
      <c r="AB242" s="574"/>
      <c r="AC242" s="574"/>
      <c r="AD242" s="574"/>
      <c r="AE242" s="574"/>
      <c r="AF242" s="574"/>
      <c r="AG242" s="574"/>
      <c r="AH242" s="574"/>
      <c r="AI242" s="574"/>
      <c r="AJ242" s="574"/>
      <c r="AK242" s="574"/>
    </row>
    <row r="243" spans="2:29" ht="18.75">
      <c r="B243" s="525"/>
      <c r="C243" s="525"/>
      <c r="D243" s="525"/>
      <c r="E243" s="525"/>
      <c r="F243" s="525"/>
      <c r="G243" s="526"/>
      <c r="H243" s="24"/>
      <c r="I243" s="24"/>
      <c r="J243" s="24"/>
      <c r="K243" s="24"/>
      <c r="L243" s="2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4:29" ht="37.5" customHeight="1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2" t="s">
        <v>97</v>
      </c>
      <c r="C245" s="833"/>
      <c r="D245" s="834"/>
      <c r="E245" s="834"/>
      <c r="F245" s="834"/>
      <c r="G245" s="834"/>
      <c r="H245" s="826" t="s">
        <v>98</v>
      </c>
      <c r="I245" s="827"/>
      <c r="J245" s="827"/>
      <c r="K245" s="827"/>
      <c r="L245" s="82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143"/>
      <c r="C247" s="828"/>
      <c r="D247" s="829"/>
      <c r="E247" s="829"/>
      <c r="F247" s="829"/>
      <c r="G247" s="829"/>
      <c r="H247" s="127"/>
      <c r="I247" s="830"/>
      <c r="J247" s="831"/>
      <c r="K247" s="83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8.75">
      <c r="B248" s="352" t="s">
        <v>269</v>
      </c>
      <c r="C248" s="824"/>
      <c r="D248" s="825"/>
      <c r="E248" s="825"/>
      <c r="F248" s="825"/>
      <c r="G248" s="825"/>
      <c r="H248" s="826" t="s">
        <v>345</v>
      </c>
      <c r="I248" s="827"/>
      <c r="J248" s="827"/>
      <c r="K248" s="827"/>
      <c r="L248" s="82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5.75">
      <c r="B249" s="35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5.75">
      <c r="B250" s="14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8.75">
      <c r="B251" s="354" t="s">
        <v>291</v>
      </c>
      <c r="C251" s="824"/>
      <c r="D251" s="825"/>
      <c r="E251" s="825"/>
      <c r="F251" s="825"/>
      <c r="G251" s="825"/>
      <c r="H251" s="826" t="s">
        <v>345</v>
      </c>
      <c r="I251" s="827"/>
      <c r="J251" s="827"/>
      <c r="K251" s="827"/>
      <c r="L251" s="82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4:29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4:29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4:29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4:29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</sheetData>
  <sheetProtection/>
  <mergeCells count="74">
    <mergeCell ref="H248:L248"/>
    <mergeCell ref="T229:V229"/>
    <mergeCell ref="N230:V230"/>
    <mergeCell ref="A232:V232"/>
    <mergeCell ref="C245:G245"/>
    <mergeCell ref="H245:L245"/>
    <mergeCell ref="C251:G251"/>
    <mergeCell ref="H251:L251"/>
    <mergeCell ref="C247:G247"/>
    <mergeCell ref="I247:K247"/>
    <mergeCell ref="C248:G248"/>
    <mergeCell ref="A225:M225"/>
    <mergeCell ref="A226:M226"/>
    <mergeCell ref="A227:M227"/>
    <mergeCell ref="A228:M228"/>
    <mergeCell ref="N229:P229"/>
    <mergeCell ref="Q229:S229"/>
    <mergeCell ref="A206:A211"/>
    <mergeCell ref="A212:A217"/>
    <mergeCell ref="A218:F218"/>
    <mergeCell ref="A219:B219"/>
    <mergeCell ref="A220:B220"/>
    <mergeCell ref="A221:B221"/>
    <mergeCell ref="A170:A178"/>
    <mergeCell ref="A179:AB179"/>
    <mergeCell ref="A180:A187"/>
    <mergeCell ref="A188:A193"/>
    <mergeCell ref="A194:A199"/>
    <mergeCell ref="A200:A205"/>
    <mergeCell ref="A150:AB150"/>
    <mergeCell ref="A152:F152"/>
    <mergeCell ref="A153:AB153"/>
    <mergeCell ref="A154:AB154"/>
    <mergeCell ref="A155:A163"/>
    <mergeCell ref="A164:A169"/>
    <mergeCell ref="A139:B139"/>
    <mergeCell ref="A140:B140"/>
    <mergeCell ref="A141:AB141"/>
    <mergeCell ref="A147:F147"/>
    <mergeCell ref="A148:B148"/>
    <mergeCell ref="A149:B149"/>
    <mergeCell ref="A60:B60"/>
    <mergeCell ref="A61:B61"/>
    <mergeCell ref="E5:E7"/>
    <mergeCell ref="F5:F7"/>
    <mergeCell ref="A62:AB62"/>
    <mergeCell ref="A138:B138"/>
    <mergeCell ref="A9:AB9"/>
    <mergeCell ref="A10:AB10"/>
    <mergeCell ref="A59:B59"/>
    <mergeCell ref="J5:J7"/>
    <mergeCell ref="K5:K7"/>
    <mergeCell ref="C4:C7"/>
    <mergeCell ref="D4:D7"/>
    <mergeCell ref="E4:F4"/>
    <mergeCell ref="I4:I7"/>
    <mergeCell ref="A1:AC1"/>
    <mergeCell ref="A2:A7"/>
    <mergeCell ref="B2:B7"/>
    <mergeCell ref="C2:F3"/>
    <mergeCell ref="G2:G7"/>
    <mergeCell ref="L5:L7"/>
    <mergeCell ref="N6:AB6"/>
    <mergeCell ref="N3:P4"/>
    <mergeCell ref="Q3:S4"/>
    <mergeCell ref="T3:V4"/>
    <mergeCell ref="H2:M2"/>
    <mergeCell ref="N2:AB2"/>
    <mergeCell ref="H3:H7"/>
    <mergeCell ref="I3:L3"/>
    <mergeCell ref="M3:M7"/>
    <mergeCell ref="J4:L4"/>
    <mergeCell ref="W3:Y4"/>
    <mergeCell ref="Z3:AB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52" max="25" man="1"/>
    <brk id="204" max="28" man="1"/>
    <brk id="230" max="25" man="1"/>
  </rowBreaks>
  <ignoredErrors>
    <ignoredError sqref="I19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58" t="s">
        <v>245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</row>
    <row r="2" spans="1:26" s="143" customFormat="1" ht="27.75" customHeight="1">
      <c r="A2" s="871" t="s">
        <v>3</v>
      </c>
      <c r="B2" s="873" t="s">
        <v>109</v>
      </c>
      <c r="C2" s="841" t="s">
        <v>7</v>
      </c>
      <c r="D2" s="842"/>
      <c r="E2" s="843"/>
      <c r="F2" s="844"/>
      <c r="G2" s="903" t="s">
        <v>110</v>
      </c>
      <c r="H2" s="905" t="s">
        <v>111</v>
      </c>
      <c r="I2" s="906"/>
      <c r="J2" s="906"/>
      <c r="K2" s="906"/>
      <c r="L2" s="906"/>
      <c r="M2" s="907"/>
      <c r="N2" s="853" t="s">
        <v>106</v>
      </c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66"/>
      <c r="Z2" s="142"/>
    </row>
    <row r="3" spans="1:25" s="143" customFormat="1" ht="12.75" customHeight="1">
      <c r="A3" s="872"/>
      <c r="B3" s="874"/>
      <c r="C3" s="845"/>
      <c r="D3" s="846"/>
      <c r="E3" s="847"/>
      <c r="F3" s="848"/>
      <c r="G3" s="904"/>
      <c r="H3" s="917" t="s">
        <v>112</v>
      </c>
      <c r="I3" s="914" t="s">
        <v>113</v>
      </c>
      <c r="J3" s="892"/>
      <c r="K3" s="892"/>
      <c r="L3" s="915"/>
      <c r="M3" s="916" t="s">
        <v>114</v>
      </c>
      <c r="N3" s="860" t="s">
        <v>107</v>
      </c>
      <c r="O3" s="861"/>
      <c r="P3" s="862"/>
      <c r="Q3" s="867" t="s">
        <v>108</v>
      </c>
      <c r="R3" s="861"/>
      <c r="S3" s="862"/>
      <c r="T3" s="867" t="s">
        <v>107</v>
      </c>
      <c r="U3" s="861"/>
      <c r="V3" s="862"/>
      <c r="W3" s="867" t="s">
        <v>108</v>
      </c>
      <c r="X3" s="861"/>
      <c r="Y3" s="868"/>
    </row>
    <row r="4" spans="1:25" s="143" customFormat="1" ht="18.75" customHeight="1">
      <c r="A4" s="872"/>
      <c r="B4" s="874"/>
      <c r="C4" s="918" t="s">
        <v>115</v>
      </c>
      <c r="D4" s="918" t="s">
        <v>116</v>
      </c>
      <c r="E4" s="900" t="s">
        <v>117</v>
      </c>
      <c r="F4" s="927"/>
      <c r="G4" s="904"/>
      <c r="H4" s="917"/>
      <c r="I4" s="918" t="s">
        <v>118</v>
      </c>
      <c r="J4" s="900" t="s">
        <v>119</v>
      </c>
      <c r="K4" s="901"/>
      <c r="L4" s="902"/>
      <c r="M4" s="916"/>
      <c r="N4" s="863"/>
      <c r="O4" s="864"/>
      <c r="P4" s="865"/>
      <c r="Q4" s="869"/>
      <c r="R4" s="864"/>
      <c r="S4" s="865"/>
      <c r="T4" s="869"/>
      <c r="U4" s="864"/>
      <c r="V4" s="865"/>
      <c r="W4" s="869"/>
      <c r="X4" s="864"/>
      <c r="Y4" s="870"/>
    </row>
    <row r="5" spans="1:25" s="143" customFormat="1" ht="15.75">
      <c r="A5" s="872"/>
      <c r="B5" s="874"/>
      <c r="C5" s="918"/>
      <c r="D5" s="918"/>
      <c r="E5" s="911" t="s">
        <v>120</v>
      </c>
      <c r="F5" s="908" t="s">
        <v>121</v>
      </c>
      <c r="G5" s="904"/>
      <c r="H5" s="917"/>
      <c r="I5" s="918"/>
      <c r="J5" s="911" t="s">
        <v>122</v>
      </c>
      <c r="K5" s="911" t="s">
        <v>123</v>
      </c>
      <c r="L5" s="911" t="s">
        <v>124</v>
      </c>
      <c r="M5" s="916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72"/>
      <c r="B6" s="874"/>
      <c r="C6" s="918"/>
      <c r="D6" s="918"/>
      <c r="E6" s="912"/>
      <c r="F6" s="909"/>
      <c r="G6" s="904"/>
      <c r="H6" s="917"/>
      <c r="I6" s="918"/>
      <c r="J6" s="912"/>
      <c r="K6" s="912"/>
      <c r="L6" s="912"/>
      <c r="M6" s="916"/>
      <c r="N6" s="891" t="s">
        <v>125</v>
      </c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3"/>
    </row>
    <row r="7" spans="1:25" s="143" customFormat="1" ht="30.75" customHeight="1" thickBot="1">
      <c r="A7" s="872"/>
      <c r="B7" s="875"/>
      <c r="C7" s="918"/>
      <c r="D7" s="918"/>
      <c r="E7" s="913"/>
      <c r="F7" s="910"/>
      <c r="G7" s="904"/>
      <c r="H7" s="917"/>
      <c r="I7" s="918"/>
      <c r="J7" s="913"/>
      <c r="K7" s="913"/>
      <c r="L7" s="913"/>
      <c r="M7" s="916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87" t="s">
        <v>198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</row>
    <row r="10" spans="1:25" s="143" customFormat="1" ht="18" customHeight="1" thickBot="1">
      <c r="A10" s="919" t="s">
        <v>136</v>
      </c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</row>
    <row r="11" spans="1:26" ht="15" customHeight="1" thickBot="1">
      <c r="A11" s="182" t="s">
        <v>126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922" t="s">
        <v>244</v>
      </c>
      <c r="B25" s="923"/>
      <c r="C25" s="924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925"/>
      <c r="B26" s="925"/>
      <c r="C26" s="926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932" t="s">
        <v>4</v>
      </c>
      <c r="B27" s="933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38" t="s">
        <v>71</v>
      </c>
      <c r="B28" s="839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38" t="s">
        <v>72</v>
      </c>
      <c r="B29" s="839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919" t="s">
        <v>137</v>
      </c>
      <c r="B30" s="920"/>
      <c r="C30" s="920"/>
      <c r="D30" s="920"/>
      <c r="E30" s="920"/>
      <c r="F30" s="920"/>
      <c r="G30" s="920"/>
      <c r="H30" s="920"/>
      <c r="I30" s="920"/>
      <c r="J30" s="920"/>
      <c r="K30" s="920"/>
      <c r="L30" s="920"/>
      <c r="M30" s="920"/>
      <c r="N30" s="929"/>
      <c r="O30" s="929"/>
      <c r="P30" s="929"/>
      <c r="Q30" s="920"/>
      <c r="R30" s="920"/>
      <c r="S30" s="920"/>
      <c r="T30" s="920"/>
      <c r="U30" s="920"/>
      <c r="V30" s="920"/>
      <c r="W30" s="920"/>
      <c r="X30" s="920"/>
      <c r="Y30" s="921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38" t="s">
        <v>4</v>
      </c>
      <c r="B64" s="839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38" t="s">
        <v>71</v>
      </c>
      <c r="B65" s="839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38" t="s">
        <v>72</v>
      </c>
      <c r="B66" s="839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919" t="s">
        <v>195</v>
      </c>
      <c r="B67" s="920"/>
      <c r="C67" s="920"/>
      <c r="D67" s="920"/>
      <c r="E67" s="920"/>
      <c r="F67" s="920"/>
      <c r="G67" s="920"/>
      <c r="H67" s="920"/>
      <c r="I67" s="920"/>
      <c r="J67" s="920"/>
      <c r="K67" s="920"/>
      <c r="L67" s="920"/>
      <c r="M67" s="920"/>
      <c r="N67" s="920"/>
      <c r="O67" s="920"/>
      <c r="P67" s="920"/>
      <c r="Q67" s="920"/>
      <c r="R67" s="920"/>
      <c r="S67" s="920"/>
      <c r="T67" s="920"/>
      <c r="U67" s="920"/>
      <c r="V67" s="920"/>
      <c r="W67" s="920"/>
      <c r="X67" s="920"/>
      <c r="Y67" s="921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38" t="s">
        <v>4</v>
      </c>
      <c r="B114" s="839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38" t="s">
        <v>71</v>
      </c>
      <c r="B115" s="839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38" t="s">
        <v>72</v>
      </c>
      <c r="B116" s="839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840" t="s">
        <v>185</v>
      </c>
      <c r="B117" s="802"/>
      <c r="C117" s="802"/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802"/>
      <c r="W117" s="802"/>
      <c r="X117" s="802"/>
      <c r="Y117" s="803"/>
    </row>
    <row r="118" spans="1:25" s="143" customFormat="1" ht="18.75" customHeight="1" thickBot="1">
      <c r="A118" s="919" t="s">
        <v>199</v>
      </c>
      <c r="B118" s="920"/>
      <c r="C118" s="920"/>
      <c r="D118" s="920"/>
      <c r="E118" s="920"/>
      <c r="F118" s="920"/>
      <c r="G118" s="920"/>
      <c r="H118" s="920"/>
      <c r="I118" s="920"/>
      <c r="J118" s="920"/>
      <c r="K118" s="920"/>
      <c r="L118" s="920"/>
      <c r="M118" s="920"/>
      <c r="N118" s="920"/>
      <c r="O118" s="920"/>
      <c r="P118" s="920"/>
      <c r="Q118" s="920"/>
      <c r="R118" s="920"/>
      <c r="S118" s="920"/>
      <c r="T118" s="920"/>
      <c r="U118" s="920"/>
      <c r="V118" s="920"/>
      <c r="W118" s="920"/>
      <c r="X118" s="920"/>
      <c r="Y118" s="921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930" t="s">
        <v>77</v>
      </c>
      <c r="B123" s="931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928" t="s">
        <v>204</v>
      </c>
      <c r="B124" s="929"/>
      <c r="C124" s="929"/>
      <c r="D124" s="929"/>
      <c r="E124" s="929"/>
      <c r="F124" s="929"/>
      <c r="G124" s="929"/>
      <c r="H124" s="929"/>
      <c r="I124" s="929"/>
      <c r="J124" s="929"/>
      <c r="K124" s="929"/>
      <c r="L124" s="929"/>
      <c r="M124" s="929"/>
      <c r="N124" s="929"/>
      <c r="O124" s="929"/>
      <c r="P124" s="929"/>
      <c r="Q124" s="920"/>
      <c r="R124" s="920"/>
      <c r="S124" s="920"/>
      <c r="T124" s="920"/>
      <c r="U124" s="920"/>
      <c r="V124" s="920"/>
      <c r="W124" s="920"/>
      <c r="X124" s="920"/>
      <c r="Y124" s="921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251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252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38" t="s">
        <v>4</v>
      </c>
      <c r="B164" s="839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38" t="s">
        <v>71</v>
      </c>
      <c r="B165" s="839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38" t="s">
        <v>72</v>
      </c>
      <c r="B166" s="839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944" t="s">
        <v>186</v>
      </c>
      <c r="B167" s="945"/>
      <c r="C167" s="945"/>
      <c r="D167" s="945"/>
      <c r="E167" s="945"/>
      <c r="F167" s="945"/>
      <c r="G167" s="945"/>
      <c r="H167" s="945"/>
      <c r="I167" s="945"/>
      <c r="J167" s="945"/>
      <c r="K167" s="945"/>
      <c r="L167" s="945"/>
      <c r="M167" s="945"/>
      <c r="N167" s="945"/>
      <c r="O167" s="945"/>
      <c r="P167" s="945"/>
      <c r="Q167" s="802"/>
      <c r="R167" s="802"/>
      <c r="S167" s="802"/>
      <c r="T167" s="802"/>
      <c r="U167" s="802"/>
      <c r="V167" s="802"/>
      <c r="W167" s="802"/>
      <c r="X167" s="802"/>
      <c r="Y167" s="803"/>
    </row>
    <row r="168" spans="1:26" ht="15.75" customHeight="1">
      <c r="A168" s="183" t="s">
        <v>187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38" t="s">
        <v>190</v>
      </c>
      <c r="B171" s="839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840" t="s">
        <v>191</v>
      </c>
      <c r="B172" s="802"/>
      <c r="C172" s="802"/>
      <c r="D172" s="802"/>
      <c r="E172" s="802"/>
      <c r="F172" s="802"/>
      <c r="G172" s="802"/>
      <c r="H172" s="802"/>
      <c r="I172" s="802"/>
      <c r="J172" s="802"/>
      <c r="K172" s="802"/>
      <c r="L172" s="802"/>
      <c r="M172" s="802"/>
      <c r="N172" s="802"/>
      <c r="O172" s="802"/>
      <c r="P172" s="802"/>
      <c r="Q172" s="802"/>
      <c r="R172" s="802"/>
      <c r="S172" s="802"/>
      <c r="T172" s="802"/>
      <c r="U172" s="802"/>
      <c r="V172" s="802"/>
      <c r="W172" s="802"/>
      <c r="X172" s="802"/>
      <c r="Y172" s="803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38" t="s">
        <v>193</v>
      </c>
      <c r="B174" s="839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07" t="s">
        <v>1</v>
      </c>
      <c r="B178" s="808"/>
      <c r="C178" s="808"/>
      <c r="D178" s="808"/>
      <c r="E178" s="808"/>
      <c r="F178" s="808"/>
      <c r="G178" s="808"/>
      <c r="H178" s="808"/>
      <c r="I178" s="808"/>
      <c r="J178" s="808"/>
      <c r="K178" s="808"/>
      <c r="L178" s="808"/>
      <c r="M178" s="808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809" t="s">
        <v>9</v>
      </c>
      <c r="B179" s="810"/>
      <c r="C179" s="810"/>
      <c r="D179" s="810"/>
      <c r="E179" s="810"/>
      <c r="F179" s="810"/>
      <c r="G179" s="810"/>
      <c r="H179" s="810"/>
      <c r="I179" s="810"/>
      <c r="J179" s="810"/>
      <c r="K179" s="810"/>
      <c r="L179" s="810"/>
      <c r="M179" s="810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809" t="s">
        <v>2</v>
      </c>
      <c r="B180" s="810"/>
      <c r="C180" s="810"/>
      <c r="D180" s="810"/>
      <c r="E180" s="810"/>
      <c r="F180" s="810"/>
      <c r="G180" s="810"/>
      <c r="H180" s="810"/>
      <c r="I180" s="810"/>
      <c r="J180" s="810"/>
      <c r="K180" s="810"/>
      <c r="L180" s="810"/>
      <c r="M180" s="810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809" t="s">
        <v>0</v>
      </c>
      <c r="B181" s="810"/>
      <c r="C181" s="810"/>
      <c r="D181" s="810"/>
      <c r="E181" s="810"/>
      <c r="F181" s="810"/>
      <c r="G181" s="810"/>
      <c r="H181" s="810"/>
      <c r="I181" s="810"/>
      <c r="J181" s="810"/>
      <c r="K181" s="810"/>
      <c r="L181" s="810"/>
      <c r="M181" s="810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940" t="s">
        <v>42</v>
      </c>
      <c r="C182" s="941"/>
      <c r="D182" s="941"/>
      <c r="E182" s="941"/>
      <c r="F182" s="942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940" t="s">
        <v>80</v>
      </c>
      <c r="C183" s="941"/>
      <c r="D183" s="941"/>
      <c r="E183" s="941"/>
      <c r="F183" s="942"/>
      <c r="G183" s="25" t="e">
        <f>SUM(G28,G123,G65,#REF!,G115,G165,#REF!)</f>
        <v>#REF!</v>
      </c>
      <c r="H183" s="24"/>
      <c r="I183" s="24"/>
      <c r="J183" s="24"/>
      <c r="K183" s="24"/>
      <c r="L183" s="24"/>
      <c r="T183" s="934" t="e">
        <f>SUM(T182:W182)</f>
        <v>#REF!</v>
      </c>
      <c r="U183" s="935"/>
      <c r="V183" s="935"/>
      <c r="W183" s="936"/>
      <c r="X183" s="937" t="e">
        <f>SUM(X182:Z182)</f>
        <v>#REF!</v>
      </c>
      <c r="Y183" s="938"/>
      <c r="Z183" s="939"/>
    </row>
    <row r="184" spans="1:12" ht="18.75" hidden="1">
      <c r="A184" s="24"/>
      <c r="B184" s="940" t="s">
        <v>79</v>
      </c>
      <c r="C184" s="941"/>
      <c r="D184" s="941"/>
      <c r="E184" s="941"/>
      <c r="F184" s="942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878">
        <f>G39+G18+G22+G33+G36+G42+G45+G48+G51+G54+G57+G60+G63+G70+G76+G80+G81+G82+G92+G103+G104+G130+G131+G140+G149+G160+G168</f>
        <v>64</v>
      </c>
      <c r="O185" s="879"/>
      <c r="P185" s="880"/>
      <c r="Q185" s="878">
        <f>SUM(G14,G73,G85,G88,G89,G93,G96,G100,G107,G110,G113,G127,G134,G137,G143,G146,G152,G155:G156,G157,G163,G169:G170,G173)</f>
        <v>63.5</v>
      </c>
      <c r="R185" s="879"/>
      <c r="S185" s="880"/>
      <c r="T185" s="1"/>
    </row>
    <row r="186" spans="2:20" ht="22.5" customHeight="1">
      <c r="B186" s="127" t="s">
        <v>105</v>
      </c>
      <c r="C186" s="833"/>
      <c r="D186" s="943"/>
      <c r="E186" s="943"/>
      <c r="F186" s="943"/>
      <c r="G186" s="943"/>
      <c r="I186" s="830" t="s">
        <v>247</v>
      </c>
      <c r="J186" s="831"/>
      <c r="K186" s="831"/>
      <c r="N186" s="876">
        <f>N185+Q185</f>
        <v>127.5</v>
      </c>
      <c r="O186" s="877"/>
      <c r="P186" s="877"/>
      <c r="Q186" s="877"/>
      <c r="R186" s="877"/>
      <c r="S186" s="877"/>
      <c r="T186" s="1"/>
    </row>
    <row r="187" ht="12.75">
      <c r="R187" s="222"/>
    </row>
    <row r="188" spans="2:11" ht="18.75">
      <c r="B188" s="127" t="s">
        <v>97</v>
      </c>
      <c r="C188" s="824"/>
      <c r="D188" s="825"/>
      <c r="E188" s="825"/>
      <c r="F188" s="825"/>
      <c r="G188" s="825"/>
      <c r="H188" s="127"/>
      <c r="I188" s="830" t="s">
        <v>98</v>
      </c>
      <c r="J188" s="831"/>
      <c r="K188" s="827"/>
    </row>
  </sheetData>
  <sheetProtection/>
  <mergeCells count="66"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N6:Y6"/>
    <mergeCell ref="A9:Y9"/>
    <mergeCell ref="A10:Y10"/>
    <mergeCell ref="A25:C26"/>
    <mergeCell ref="C4:C7"/>
    <mergeCell ref="D4:D7"/>
    <mergeCell ref="E5:E7"/>
    <mergeCell ref="E4:F4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2020-06-25T07:40:25Z</cp:lastPrinted>
  <dcterms:created xsi:type="dcterms:W3CDTF">1998-03-25T14:18:11Z</dcterms:created>
  <dcterms:modified xsi:type="dcterms:W3CDTF">2024-06-26T12:20:21Z</dcterms:modified>
  <cp:category/>
  <cp:version/>
  <cp:contentType/>
  <cp:contentStatus/>
</cp:coreProperties>
</file>